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RTESL\Dropbox\DPTO DE CONTROL Y SEGUIMIENTO P.O.P\POPyAS\2018\2 POPyAS\2da. Versión\"/>
    </mc:Choice>
  </mc:AlternateContent>
  <bookViews>
    <workbookView xWindow="0" yWindow="0" windowWidth="20460" windowHeight="6465" tabRatio="599"/>
  </bookViews>
  <sheets>
    <sheet name="POP_(Obra_Gral.)" sheetId="21" r:id="rId1"/>
    <sheet name="PAS_(Social_Gral.)" sheetId="25" r:id="rId2"/>
  </sheets>
  <externalReferences>
    <externalReference r:id="rId3"/>
    <externalReference r:id="rId4"/>
    <externalReference r:id="rId5"/>
    <externalReference r:id="rId6"/>
  </externalReferences>
  <definedNames>
    <definedName name="Alc">[1]Listas!$B$2:$B$20</definedName>
    <definedName name="_xlnm.Print_Area" localSheetId="1">'PAS_(Social_Gral.)'!$A$1:$AS$58</definedName>
    <definedName name="_xlnm.Print_Area" localSheetId="0">'POP_(Obra_Gral.)'!$A$1:$AP$312</definedName>
    <definedName name="DF">[2]!catEstatus[ESTATUS]</definedName>
    <definedName name="Estatus">[1]Listas!$E$2:$E$7</definedName>
    <definedName name="lstAlcance">[2]!catAlcances[ALCANCE]</definedName>
    <definedName name="lstalcance2">[3]!catAlcances[ALCANCE]</definedName>
    <definedName name="lstEjercicio" localSheetId="1">#REF!</definedName>
    <definedName name="lstEjercicio" localSheetId="0">#REF!</definedName>
    <definedName name="lstEjercicio">#REF!</definedName>
    <definedName name="lstEntidad">[2]!catEntidades[ENTIDAD EJECUTORA]</definedName>
    <definedName name="lstEntidad2">[3]!catEntidades[ENTIDAD EJECUTORA]</definedName>
    <definedName name="lstEstatus" localSheetId="1">#REF!</definedName>
    <definedName name="lstEstatus" localSheetId="0">#REF!</definedName>
    <definedName name="lstEstatus">#REF!</definedName>
    <definedName name="lstEstatus22">[3]!catEstatus[ESTATUS]</definedName>
    <definedName name="lstModalidad" localSheetId="1">#REF!</definedName>
    <definedName name="lstModalidad" localSheetId="0">#REF!</definedName>
    <definedName name="lstModalidad">#REF!</definedName>
    <definedName name="lstObservaciones">[2]!catObservaciones[OBSERVACIONES]</definedName>
    <definedName name="lstRubro" localSheetId="1">#REF!</definedName>
    <definedName name="lstRubro" localSheetId="0">#REF!</definedName>
    <definedName name="lstRubro">#REF!</definedName>
    <definedName name="observaciones">[2]!catModalidades[MODALIDAD DE EJECUCIÓN]</definedName>
    <definedName name="Propej">[1]Listas!$D$2:$D$12</definedName>
    <definedName name="Rub">[1]Listas!$A$2:$A$55</definedName>
    <definedName name="_xlnm.Print_Titles" localSheetId="1">'PAS_(Social_Gral.)'!$1:$7</definedName>
    <definedName name="_xlnm.Print_Titles" localSheetId="0">'POP_(Obra_Gral.)'!$1:$7</definedName>
    <definedName name="Zon">[1]Listas!$C$2:$C$4</definedName>
  </definedNames>
  <calcPr calcId="162913"/>
</workbook>
</file>

<file path=xl/calcChain.xml><?xml version="1.0" encoding="utf-8"?>
<calcChain xmlns="http://schemas.openxmlformats.org/spreadsheetml/2006/main">
  <c r="AI243" i="21" l="1"/>
  <c r="AC243" i="21"/>
  <c r="AJ239" i="21"/>
  <c r="AF239" i="21" s="1"/>
  <c r="AC240" i="21"/>
  <c r="AD240" i="21"/>
  <c r="AE240" i="21"/>
  <c r="AG240" i="21"/>
  <c r="AH240" i="21"/>
  <c r="AI240" i="21"/>
  <c r="AK240" i="21"/>
  <c r="AL240" i="21"/>
  <c r="AM240" i="21"/>
  <c r="AN240" i="21"/>
  <c r="AO240" i="21"/>
  <c r="AB240" i="21"/>
  <c r="AF238" i="21"/>
  <c r="U238" i="21" s="1"/>
  <c r="AC229" i="21"/>
  <c r="AD229" i="21"/>
  <c r="AE229" i="21"/>
  <c r="AG229" i="21"/>
  <c r="AH229" i="21"/>
  <c r="AI229" i="21"/>
  <c r="AJ229" i="21"/>
  <c r="AK229" i="21"/>
  <c r="AL229" i="21"/>
  <c r="AM229" i="21"/>
  <c r="AN229" i="21"/>
  <c r="AO229" i="21"/>
  <c r="AB229" i="21"/>
  <c r="AF228" i="21"/>
  <c r="U228" i="21" s="1"/>
  <c r="AF227" i="21"/>
  <c r="U227" i="21"/>
  <c r="AB221" i="21"/>
  <c r="AF218" i="21"/>
  <c r="U218" i="21" s="1"/>
  <c r="AF217" i="21"/>
  <c r="U217" i="21" s="1"/>
  <c r="AI211" i="21"/>
  <c r="U239" i="21" l="1"/>
  <c r="AJ240" i="21"/>
  <c r="AD49" i="21"/>
  <c r="AE49" i="21"/>
  <c r="AG49" i="21"/>
  <c r="AI49" i="21"/>
  <c r="AJ49" i="21"/>
  <c r="AK49" i="21"/>
  <c r="AL49" i="21"/>
  <c r="AM49" i="21"/>
  <c r="AN49" i="21"/>
  <c r="AO49" i="21"/>
  <c r="AB49" i="21"/>
  <c r="AF48" i="21"/>
  <c r="S48" i="21"/>
  <c r="AD243" i="21" l="1"/>
  <c r="AI214" i="21"/>
  <c r="AE214" i="21"/>
  <c r="AG173" i="21" l="1"/>
  <c r="AF181" i="21"/>
  <c r="S181" i="21" s="1"/>
  <c r="AF180" i="21"/>
  <c r="U180" i="21" s="1"/>
  <c r="AF179" i="21"/>
  <c r="U179" i="21" s="1"/>
  <c r="AI233" i="21" l="1"/>
  <c r="AD124" i="21" l="1"/>
  <c r="AG124" i="21"/>
  <c r="AI124" i="21"/>
  <c r="AJ124" i="21"/>
  <c r="AL124" i="21"/>
  <c r="AM124" i="21"/>
  <c r="AN124" i="21"/>
  <c r="AO124" i="21"/>
  <c r="AB124" i="21"/>
  <c r="AK123" i="21"/>
  <c r="AE123" i="21"/>
  <c r="AE120" i="21"/>
  <c r="AE124" i="21" s="1"/>
  <c r="AH120" i="21"/>
  <c r="AK118" i="21"/>
  <c r="AH118" i="21"/>
  <c r="AC118" i="21"/>
  <c r="AG188" i="21" l="1"/>
  <c r="AH46" i="21"/>
  <c r="AH49" i="21" s="1"/>
  <c r="AC46" i="21"/>
  <c r="AC49" i="21" s="1"/>
  <c r="AF47" i="21"/>
  <c r="S47" i="21"/>
  <c r="AE81" i="21" l="1"/>
  <c r="AB81" i="21"/>
  <c r="AK121" i="21" l="1"/>
  <c r="AH121" i="21"/>
  <c r="AC121" i="21"/>
  <c r="AF122" i="21"/>
  <c r="S122" i="21" s="1"/>
  <c r="AK119" i="21"/>
  <c r="AK124" i="21" s="1"/>
  <c r="AH119" i="21"/>
  <c r="AH124" i="21" s="1"/>
  <c r="AC119" i="21"/>
  <c r="AC124" i="21" s="1"/>
  <c r="AF120" i="21"/>
  <c r="S120" i="21" s="1"/>
  <c r="AF121" i="21" l="1"/>
  <c r="S121" i="21" s="1"/>
  <c r="AI215" i="21"/>
  <c r="AC215" i="21"/>
  <c r="AF216" i="21"/>
  <c r="U216" i="21" s="1"/>
  <c r="AI213" i="21"/>
  <c r="AC213" i="21"/>
  <c r="AF214" i="21"/>
  <c r="U214" i="21" s="1"/>
  <c r="AI210" i="21"/>
  <c r="AC210" i="21"/>
  <c r="AF211" i="21"/>
  <c r="U211" i="21"/>
  <c r="AD11" i="25" l="1"/>
  <c r="AC11" i="25"/>
  <c r="W11" i="25"/>
  <c r="W12" i="25" s="1"/>
  <c r="W14" i="25" s="1"/>
  <c r="AP21" i="25"/>
  <c r="AO21" i="25"/>
  <c r="AN21" i="25"/>
  <c r="AM21" i="25"/>
  <c r="AL21" i="25"/>
  <c r="AJ21" i="25"/>
  <c r="Z21" i="25"/>
  <c r="O21" i="25" s="1"/>
  <c r="AP20" i="25"/>
  <c r="AO20" i="25"/>
  <c r="AN20" i="25"/>
  <c r="AM20" i="25"/>
  <c r="AL20" i="25"/>
  <c r="AJ20" i="25"/>
  <c r="Z20" i="25"/>
  <c r="M20" i="25" s="1"/>
  <c r="O20" i="25"/>
  <c r="V45" i="25"/>
  <c r="V47" i="25" s="1"/>
  <c r="W45" i="25"/>
  <c r="W47" i="25" s="1"/>
  <c r="W55" i="25" s="1"/>
  <c r="X45" i="25"/>
  <c r="Y45" i="25"/>
  <c r="Y47" i="25" s="1"/>
  <c r="X47" i="25"/>
  <c r="X55" i="25" s="1"/>
  <c r="V53" i="25"/>
  <c r="W53" i="25"/>
  <c r="X53" i="25"/>
  <c r="Y53" i="25"/>
  <c r="V38" i="25"/>
  <c r="W38" i="25"/>
  <c r="X38" i="25"/>
  <c r="Y38" i="25"/>
  <c r="V40" i="25"/>
  <c r="W40" i="25"/>
  <c r="X40" i="25"/>
  <c r="Y40" i="25"/>
  <c r="V31" i="25"/>
  <c r="W31" i="25"/>
  <c r="X31" i="25"/>
  <c r="Y31" i="25"/>
  <c r="V33" i="25"/>
  <c r="W33" i="25"/>
  <c r="X33" i="25"/>
  <c r="Y33" i="25"/>
  <c r="V24" i="25"/>
  <c r="W24" i="25"/>
  <c r="X24" i="25"/>
  <c r="Y24" i="25"/>
  <c r="V26" i="25"/>
  <c r="W26" i="25"/>
  <c r="X26" i="25"/>
  <c r="Y26" i="25"/>
  <c r="V12" i="25"/>
  <c r="V14" i="25" s="1"/>
  <c r="X12" i="25"/>
  <c r="X14" i="25" s="1"/>
  <c r="Y12" i="25"/>
  <c r="Y14" i="25" s="1"/>
  <c r="AI24" i="25"/>
  <c r="AI26" i="25" s="1"/>
  <c r="AH24" i="25"/>
  <c r="AH26" i="25" s="1"/>
  <c r="AG24" i="25"/>
  <c r="AG26" i="25" s="1"/>
  <c r="AF24" i="25"/>
  <c r="AF26" i="25" s="1"/>
  <c r="AE24" i="25"/>
  <c r="AE26" i="25" s="1"/>
  <c r="AD24" i="25"/>
  <c r="AD26" i="25" s="1"/>
  <c r="AC24" i="25"/>
  <c r="AC26" i="25" s="1"/>
  <c r="AB24" i="25"/>
  <c r="AB26" i="25" s="1"/>
  <c r="AA24" i="25"/>
  <c r="AA26" i="25" s="1"/>
  <c r="N24" i="25"/>
  <c r="N26" i="25" s="1"/>
  <c r="L24" i="25"/>
  <c r="L26" i="25" s="1"/>
  <c r="J24" i="25"/>
  <c r="J26" i="25" s="1"/>
  <c r="AP23" i="25"/>
  <c r="AO23" i="25"/>
  <c r="AN23" i="25"/>
  <c r="AM23" i="25"/>
  <c r="AL23" i="25"/>
  <c r="AJ23" i="25"/>
  <c r="Z23" i="25"/>
  <c r="M23" i="25" s="1"/>
  <c r="AP22" i="25"/>
  <c r="AO22" i="25"/>
  <c r="AN22" i="25"/>
  <c r="AM22" i="25"/>
  <c r="AL22" i="25"/>
  <c r="AJ22" i="25"/>
  <c r="Z22" i="25"/>
  <c r="O22" i="25" s="1"/>
  <c r="AP19" i="25"/>
  <c r="AO19" i="25"/>
  <c r="AN19" i="25"/>
  <c r="AN24" i="25" s="1"/>
  <c r="AN26" i="25" s="1"/>
  <c r="AM19" i="25"/>
  <c r="Z19" i="25"/>
  <c r="O19" i="25"/>
  <c r="AB112" i="21"/>
  <c r="AB101" i="21"/>
  <c r="V55" i="25" l="1"/>
  <c r="Y55" i="25"/>
  <c r="M21" i="25"/>
  <c r="AM24" i="25"/>
  <c r="AM26" i="25" s="1"/>
  <c r="AJ24" i="25"/>
  <c r="AJ26" i="25" s="1"/>
  <c r="AL24" i="25"/>
  <c r="AL26" i="25" s="1"/>
  <c r="AP24" i="25"/>
  <c r="AP26" i="25" s="1"/>
  <c r="O23" i="25"/>
  <c r="O24" i="25" s="1"/>
  <c r="O26" i="25" s="1"/>
  <c r="Z24" i="25"/>
  <c r="Z26" i="25" s="1"/>
  <c r="M22" i="25"/>
  <c r="AO24" i="25"/>
  <c r="AO26" i="25" s="1"/>
  <c r="M19" i="25"/>
  <c r="M24" i="25" l="1"/>
  <c r="M26" i="25" s="1"/>
  <c r="AK165" i="21" l="1"/>
  <c r="AC165" i="21"/>
  <c r="AC182" i="21"/>
  <c r="AC184" i="21" s="1"/>
  <c r="AD182" i="21"/>
  <c r="AE182" i="21"/>
  <c r="AG182" i="21"/>
  <c r="AH182" i="21"/>
  <c r="AI182" i="21"/>
  <c r="AJ182" i="21"/>
  <c r="AK182" i="21"/>
  <c r="AL182" i="21"/>
  <c r="AM182" i="21"/>
  <c r="AN182" i="21"/>
  <c r="AO182" i="21"/>
  <c r="AB182" i="21"/>
  <c r="AL184" i="21"/>
  <c r="AP182" i="21"/>
  <c r="AP184" i="21" s="1"/>
  <c r="U182" i="21"/>
  <c r="U184" i="21" s="1"/>
  <c r="T182" i="21"/>
  <c r="T184" i="21" s="1"/>
  <c r="S182" i="21"/>
  <c r="S184" i="21" s="1"/>
  <c r="R182" i="21"/>
  <c r="R184" i="21" s="1"/>
  <c r="P182" i="21"/>
  <c r="P184" i="21" s="1"/>
  <c r="AF178" i="21"/>
  <c r="U178" i="21" s="1"/>
  <c r="AF177" i="21"/>
  <c r="U177" i="21" s="1"/>
  <c r="AF176" i="21"/>
  <c r="U176" i="21" s="1"/>
  <c r="AF175" i="21"/>
  <c r="S175" i="21" s="1"/>
  <c r="AF174" i="21"/>
  <c r="U174" i="21" s="1"/>
  <c r="AF173" i="21"/>
  <c r="U173" i="21" s="1"/>
  <c r="AG184" i="21" l="1"/>
  <c r="AM184" i="21"/>
  <c r="AI184" i="21"/>
  <c r="AD184" i="21"/>
  <c r="AH184" i="21"/>
  <c r="AO184" i="21"/>
  <c r="AK184" i="21"/>
  <c r="AB184" i="21"/>
  <c r="AN184" i="21"/>
  <c r="AJ184" i="21"/>
  <c r="AE184" i="21"/>
  <c r="AF182" i="21"/>
  <c r="AF184" i="21" l="1"/>
  <c r="AE112" i="21"/>
  <c r="AF109" i="21"/>
  <c r="S109" i="21" s="1"/>
  <c r="AJ110" i="21"/>
  <c r="AH110" i="21"/>
  <c r="AJ108" i="21"/>
  <c r="AH108" i="21"/>
  <c r="AJ106" i="21"/>
  <c r="AH106" i="21"/>
  <c r="AJ104" i="21"/>
  <c r="AH104" i="21"/>
  <c r="AC110" i="21"/>
  <c r="AC108" i="21"/>
  <c r="AC106" i="21"/>
  <c r="AC104" i="21"/>
  <c r="AF107" i="21"/>
  <c r="S107" i="21" s="1"/>
  <c r="AF105" i="21"/>
  <c r="S105" i="21" s="1"/>
  <c r="AJ99" i="21"/>
  <c r="AH99" i="21"/>
  <c r="AJ97" i="21"/>
  <c r="AH97" i="21"/>
  <c r="AJ95" i="21"/>
  <c r="AH95" i="21"/>
  <c r="AC99" i="21"/>
  <c r="AC97" i="21"/>
  <c r="AC95" i="21"/>
  <c r="AP99" i="21"/>
  <c r="AP97" i="21"/>
  <c r="AF96" i="21"/>
  <c r="U96" i="21" s="1"/>
  <c r="AF110" i="21" l="1"/>
  <c r="S110" i="21" s="1"/>
  <c r="AF97" i="21"/>
  <c r="U97" i="21" s="1"/>
  <c r="AH112" i="21"/>
  <c r="AF99" i="21"/>
  <c r="U99" i="21" s="1"/>
  <c r="AI79" i="21" l="1"/>
  <c r="AI77" i="21"/>
  <c r="AH77" i="21"/>
  <c r="AF77" i="21" s="1"/>
  <c r="U77" i="21" s="1"/>
  <c r="AJ75" i="21"/>
  <c r="AH75" i="21"/>
  <c r="AJ73" i="21"/>
  <c r="AH73" i="21"/>
  <c r="AJ71" i="21"/>
  <c r="AH71" i="21"/>
  <c r="AJ69" i="21"/>
  <c r="AH69" i="21"/>
  <c r="AJ67" i="21"/>
  <c r="AH67" i="21"/>
  <c r="AC79" i="21"/>
  <c r="AC77" i="21"/>
  <c r="AC75" i="21"/>
  <c r="AC73" i="21"/>
  <c r="AC71" i="21"/>
  <c r="AC69" i="21"/>
  <c r="AC67" i="21"/>
  <c r="AF79" i="21"/>
  <c r="U79" i="21" s="1"/>
  <c r="AF76" i="21"/>
  <c r="U76" i="21" s="1"/>
  <c r="AF74" i="21"/>
  <c r="U74" i="21" s="1"/>
  <c r="AF72" i="21"/>
  <c r="U72" i="21" s="1"/>
  <c r="AF70" i="21"/>
  <c r="U70" i="21" s="1"/>
  <c r="AF68" i="21"/>
  <c r="AE83" i="21" s="1"/>
  <c r="AI58" i="21"/>
  <c r="AH58" i="21"/>
  <c r="AI56" i="21"/>
  <c r="AH56" i="21"/>
  <c r="AB60" i="21"/>
  <c r="AB62" i="21" s="1"/>
  <c r="AD60" i="21"/>
  <c r="AD62" i="21" s="1"/>
  <c r="AE60" i="21"/>
  <c r="AE62" i="21" s="1"/>
  <c r="AG60" i="21"/>
  <c r="AG62" i="21" s="1"/>
  <c r="AB305" i="21"/>
  <c r="AC305" i="21"/>
  <c r="AD305" i="21"/>
  <c r="AE305" i="21"/>
  <c r="AB307" i="21"/>
  <c r="AC307" i="21"/>
  <c r="AD307" i="21"/>
  <c r="AE307" i="21"/>
  <c r="AB298" i="21"/>
  <c r="AC298" i="21"/>
  <c r="AD298" i="21"/>
  <c r="AE298" i="21"/>
  <c r="AB300" i="21"/>
  <c r="AC300" i="21"/>
  <c r="AD300" i="21"/>
  <c r="AE300" i="21"/>
  <c r="AB291" i="21"/>
  <c r="AC291" i="21"/>
  <c r="AD291" i="21"/>
  <c r="AE291" i="21"/>
  <c r="AB293" i="21"/>
  <c r="AC293" i="21"/>
  <c r="AD293" i="21"/>
  <c r="AE293" i="21"/>
  <c r="AB284" i="21"/>
  <c r="AC284" i="21"/>
  <c r="AD284" i="21"/>
  <c r="AE284" i="21"/>
  <c r="AB286" i="21"/>
  <c r="AC286" i="21"/>
  <c r="AD286" i="21"/>
  <c r="AE286" i="21"/>
  <c r="AB277" i="21"/>
  <c r="AC277" i="21"/>
  <c r="AD277" i="21"/>
  <c r="AE277" i="21"/>
  <c r="AB274" i="21"/>
  <c r="AB279" i="21" s="1"/>
  <c r="AC274" i="21"/>
  <c r="AC279" i="21" s="1"/>
  <c r="AD274" i="21"/>
  <c r="AD279" i="21" s="1"/>
  <c r="AE274" i="21"/>
  <c r="AE279" i="21" s="1"/>
  <c r="AB266" i="21"/>
  <c r="AC266" i="21"/>
  <c r="AD266" i="21"/>
  <c r="AE266" i="21"/>
  <c r="AB268" i="21"/>
  <c r="AC268" i="21"/>
  <c r="AD268" i="21"/>
  <c r="AE268" i="21"/>
  <c r="AB259" i="21"/>
  <c r="AC259" i="21"/>
  <c r="AD259" i="21"/>
  <c r="AE259" i="21"/>
  <c r="AB261" i="21"/>
  <c r="AC261" i="21"/>
  <c r="AD261" i="21"/>
  <c r="AE261" i="21"/>
  <c r="AB252" i="21"/>
  <c r="AC252" i="21"/>
  <c r="AD252" i="21"/>
  <c r="AE252" i="21"/>
  <c r="AB248" i="21"/>
  <c r="AC248" i="21"/>
  <c r="AD248" i="21"/>
  <c r="AE248" i="21"/>
  <c r="AB244" i="21"/>
  <c r="AC244" i="21"/>
  <c r="AD244" i="21"/>
  <c r="AE244" i="21"/>
  <c r="AB234" i="21"/>
  <c r="AC234" i="21"/>
  <c r="AD234" i="21"/>
  <c r="AE234" i="21"/>
  <c r="AB254" i="21"/>
  <c r="AC221" i="21"/>
  <c r="AC254" i="21" s="1"/>
  <c r="AD221" i="21"/>
  <c r="AE221" i="21"/>
  <c r="AB189" i="21"/>
  <c r="AC189" i="21"/>
  <c r="AD189" i="21"/>
  <c r="AE189" i="21"/>
  <c r="AB191" i="21"/>
  <c r="AC191" i="21"/>
  <c r="AD191" i="21"/>
  <c r="AE191" i="21"/>
  <c r="AB166" i="21"/>
  <c r="AC166" i="21"/>
  <c r="AD166" i="21"/>
  <c r="AE166" i="21"/>
  <c r="AB168" i="21"/>
  <c r="AC168" i="21"/>
  <c r="AD168" i="21"/>
  <c r="AE168" i="21"/>
  <c r="AB144" i="21"/>
  <c r="AC144" i="21"/>
  <c r="AD144" i="21"/>
  <c r="AE144" i="21"/>
  <c r="AB146" i="21"/>
  <c r="AC146" i="21"/>
  <c r="AD146" i="21"/>
  <c r="AE146" i="21"/>
  <c r="AB132" i="21"/>
  <c r="AC132" i="21"/>
  <c r="AD132" i="21"/>
  <c r="AE132" i="21"/>
  <c r="AB134" i="21"/>
  <c r="AC134" i="21"/>
  <c r="AD134" i="21"/>
  <c r="AE134" i="21"/>
  <c r="AC126" i="21"/>
  <c r="AD126" i="21"/>
  <c r="AE126" i="21"/>
  <c r="AB126" i="21"/>
  <c r="AC112" i="21"/>
  <c r="AD112" i="21"/>
  <c r="AB114" i="21"/>
  <c r="AC101" i="21"/>
  <c r="AD101" i="21"/>
  <c r="AE101" i="21"/>
  <c r="AB88" i="21"/>
  <c r="AC88" i="21"/>
  <c r="AD88" i="21"/>
  <c r="AE88" i="21"/>
  <c r="AB90" i="21"/>
  <c r="AC90" i="21"/>
  <c r="AD90" i="21"/>
  <c r="AE90" i="21"/>
  <c r="AB83" i="21"/>
  <c r="AD81" i="21"/>
  <c r="AD83" i="21"/>
  <c r="AD51" i="21"/>
  <c r="AE51" i="21"/>
  <c r="AB51" i="21"/>
  <c r="AC51" i="21"/>
  <c r="AB30" i="21"/>
  <c r="AC30" i="21"/>
  <c r="AD30" i="21"/>
  <c r="AE30" i="21"/>
  <c r="AB32" i="21"/>
  <c r="AC32" i="21"/>
  <c r="AD32" i="21"/>
  <c r="AE32" i="21"/>
  <c r="AB23" i="21"/>
  <c r="AB25" i="21" s="1"/>
  <c r="AC23" i="21"/>
  <c r="AC25" i="21" s="1"/>
  <c r="AD23" i="21"/>
  <c r="AD25" i="21" s="1"/>
  <c r="AE23" i="21"/>
  <c r="AE25" i="21" s="1"/>
  <c r="AG23" i="21"/>
  <c r="AG25" i="21" s="1"/>
  <c r="AD13" i="21"/>
  <c r="AE13" i="21"/>
  <c r="AB13" i="21"/>
  <c r="AF57" i="21"/>
  <c r="U57" i="21" s="1"/>
  <c r="AF58" i="21" l="1"/>
  <c r="AC81" i="21"/>
  <c r="AC83" i="21" s="1"/>
  <c r="AE254" i="21"/>
  <c r="AD254" i="21"/>
  <c r="U68" i="21"/>
  <c r="AC114" i="21"/>
  <c r="AE114" i="21"/>
  <c r="AD114" i="21"/>
  <c r="U58" i="21"/>
  <c r="AP305" i="21" l="1"/>
  <c r="AP307" i="21" s="1"/>
  <c r="AP298" i="21"/>
  <c r="AP300" i="21" s="1"/>
  <c r="AP291" i="21"/>
  <c r="AP293" i="21" s="1"/>
  <c r="AP284" i="21"/>
  <c r="AP286" i="21" s="1"/>
  <c r="AP277" i="21"/>
  <c r="AP274" i="21"/>
  <c r="AP279" i="21" s="1"/>
  <c r="AP266" i="21"/>
  <c r="AP268" i="21" s="1"/>
  <c r="AP259" i="21"/>
  <c r="AP261" i="21" s="1"/>
  <c r="AP252" i="21"/>
  <c r="AP248" i="21"/>
  <c r="AP244" i="21"/>
  <c r="AP240" i="21"/>
  <c r="AP234" i="21"/>
  <c r="AP229" i="21"/>
  <c r="AP221" i="21"/>
  <c r="AP202" i="21"/>
  <c r="AP204" i="21" s="1"/>
  <c r="AP189" i="21"/>
  <c r="AP191" i="21" s="1"/>
  <c r="AP166" i="21"/>
  <c r="AP168" i="21" s="1"/>
  <c r="AP159" i="21"/>
  <c r="AP161" i="21" s="1"/>
  <c r="AP144" i="21"/>
  <c r="AP146" i="21" s="1"/>
  <c r="AP132" i="21"/>
  <c r="AP134" i="21" s="1"/>
  <c r="AP124" i="21"/>
  <c r="AP126" i="21" s="1"/>
  <c r="AP112" i="21"/>
  <c r="AP101" i="21"/>
  <c r="AP100" i="21"/>
  <c r="AP98" i="21"/>
  <c r="AP93" i="21"/>
  <c r="AP88" i="21"/>
  <c r="AP90" i="21" s="1"/>
  <c r="AP83" i="21"/>
  <c r="AP81" i="21"/>
  <c r="AP60" i="21"/>
  <c r="AP62" i="21" s="1"/>
  <c r="AP49" i="21"/>
  <c r="AP51" i="21" s="1"/>
  <c r="AP38" i="21"/>
  <c r="AP40" i="21" s="1"/>
  <c r="AP30" i="21"/>
  <c r="AP32" i="21" s="1"/>
  <c r="AP23" i="21"/>
  <c r="AP25" i="21" s="1"/>
  <c r="AP13" i="21"/>
  <c r="AP15" i="21" s="1"/>
  <c r="AP254" i="21" l="1"/>
  <c r="AP309" i="21" s="1"/>
  <c r="AP114" i="21"/>
  <c r="AG11" i="21" l="1"/>
  <c r="AG9" i="21"/>
  <c r="AC11" i="21"/>
  <c r="AC9" i="21"/>
  <c r="AC13" i="21" s="1"/>
  <c r="AD15" i="21"/>
  <c r="AE15" i="21"/>
  <c r="AE309" i="21" l="1"/>
  <c r="AD309" i="21"/>
  <c r="AC15" i="21"/>
  <c r="AF11" i="21"/>
  <c r="U11" i="21" s="1"/>
  <c r="AF10" i="21"/>
  <c r="S10" i="21"/>
  <c r="R49" i="21" l="1"/>
  <c r="AF46" i="21"/>
  <c r="S46" i="21" s="1"/>
  <c r="U252" i="21" l="1"/>
  <c r="S229" i="21"/>
  <c r="T221" i="21"/>
  <c r="R221" i="21"/>
  <c r="U189" i="21"/>
  <c r="U191" i="21" s="1"/>
  <c r="U144" i="21"/>
  <c r="U146" i="21" s="1"/>
  <c r="S132" i="21"/>
  <c r="S134" i="21" s="1"/>
  <c r="AG126" i="21"/>
  <c r="AH126" i="21"/>
  <c r="AI126" i="21"/>
  <c r="AJ126" i="21"/>
  <c r="AL126" i="21"/>
  <c r="AM126" i="21"/>
  <c r="AN126" i="21"/>
  <c r="AO126" i="21"/>
  <c r="AK126" i="21"/>
  <c r="U124" i="21"/>
  <c r="U126" i="21" s="1"/>
  <c r="U112" i="21"/>
  <c r="S101" i="21"/>
  <c r="AO44" i="25"/>
  <c r="AO37" i="25"/>
  <c r="AO30" i="25"/>
  <c r="AO11" i="25"/>
  <c r="AO10" i="25"/>
  <c r="AO9" i="25"/>
  <c r="AK283" i="21" l="1"/>
  <c r="AG221" i="21"/>
  <c r="AH221" i="21"/>
  <c r="AI221" i="21"/>
  <c r="AJ221" i="21"/>
  <c r="AK221" i="21"/>
  <c r="AL221" i="21"/>
  <c r="AM221" i="21"/>
  <c r="AN221" i="21"/>
  <c r="AO221" i="21"/>
  <c r="AF31" i="25" l="1"/>
  <c r="AG31" i="25"/>
  <c r="AG33" i="25" s="1"/>
  <c r="AF33" i="25"/>
  <c r="AM51" i="21"/>
  <c r="AK51" i="21"/>
  <c r="AL51" i="21"/>
  <c r="AN51" i="21"/>
  <c r="AO51" i="21"/>
  <c r="AK132" i="21"/>
  <c r="AK134" i="21" s="1"/>
  <c r="AL132" i="21"/>
  <c r="AM132" i="21"/>
  <c r="AM134" i="21" s="1"/>
  <c r="AN132" i="21"/>
  <c r="AN134" i="21" s="1"/>
  <c r="AO132" i="21"/>
  <c r="AO134" i="21" s="1"/>
  <c r="AL134" i="21"/>
  <c r="AJ166" i="21"/>
  <c r="AJ168" i="21" s="1"/>
  <c r="AK166" i="21"/>
  <c r="AK168" i="21" s="1"/>
  <c r="AL166" i="21"/>
  <c r="AL168" i="21" s="1"/>
  <c r="AM166" i="21"/>
  <c r="AM168" i="21" s="1"/>
  <c r="AN166" i="21"/>
  <c r="AN168" i="21" s="1"/>
  <c r="AO166" i="21"/>
  <c r="AO168" i="21" s="1"/>
  <c r="AK277" i="21"/>
  <c r="AL277" i="21"/>
  <c r="AM277" i="21"/>
  <c r="AN277" i="21"/>
  <c r="AO277" i="21"/>
  <c r="AK88" i="21"/>
  <c r="AK90" i="21" s="1"/>
  <c r="AL88" i="21"/>
  <c r="AL90" i="21" s="1"/>
  <c r="AJ277" i="21"/>
  <c r="AI277" i="21"/>
  <c r="AH277" i="21"/>
  <c r="AG277" i="21"/>
  <c r="U277" i="21"/>
  <c r="T277" i="21"/>
  <c r="R277" i="21"/>
  <c r="P277" i="21"/>
  <c r="AF276" i="21"/>
  <c r="AF277" i="21" s="1"/>
  <c r="S276" i="21" l="1"/>
  <c r="S277" i="21" s="1"/>
  <c r="AO274" i="21"/>
  <c r="AO279" i="21" s="1"/>
  <c r="AN274" i="21"/>
  <c r="AN279" i="21" s="1"/>
  <c r="AM274" i="21"/>
  <c r="AM279" i="21" s="1"/>
  <c r="AL274" i="21"/>
  <c r="AL279" i="21" s="1"/>
  <c r="AK274" i="21"/>
  <c r="AK279" i="21" s="1"/>
  <c r="AJ274" i="21"/>
  <c r="AJ279" i="21" s="1"/>
  <c r="AI274" i="21"/>
  <c r="AI279" i="21" s="1"/>
  <c r="AH274" i="21"/>
  <c r="AH279" i="21" s="1"/>
  <c r="AG274" i="21"/>
  <c r="AG279" i="21" s="1"/>
  <c r="T274" i="21"/>
  <c r="T279" i="21" s="1"/>
  <c r="R274" i="21"/>
  <c r="R279" i="21" s="1"/>
  <c r="P274" i="21"/>
  <c r="P279" i="21" s="1"/>
  <c r="AF273" i="21"/>
  <c r="AF274" i="21" l="1"/>
  <c r="AF279" i="21" s="1"/>
  <c r="U273" i="21"/>
  <c r="U274" i="21" s="1"/>
  <c r="U279" i="21" s="1"/>
  <c r="S274" i="21"/>
  <c r="S279" i="21" s="1"/>
  <c r="AF119" i="21" l="1"/>
  <c r="S119" i="21" s="1"/>
  <c r="T23" i="21" l="1"/>
  <c r="R23" i="21"/>
  <c r="T13" i="21"/>
  <c r="R13" i="21"/>
  <c r="T81" i="21"/>
  <c r="R81" i="21"/>
  <c r="T240" i="21"/>
  <c r="R240" i="21"/>
  <c r="P240" i="21"/>
  <c r="AG81" i="21"/>
  <c r="AG83" i="21" s="1"/>
  <c r="AH81" i="21"/>
  <c r="AH83" i="21" s="1"/>
  <c r="AI81" i="21"/>
  <c r="AI83" i="21" s="1"/>
  <c r="AJ81" i="21"/>
  <c r="AJ83" i="21" s="1"/>
  <c r="AK81" i="21"/>
  <c r="AK83" i="21" s="1"/>
  <c r="AL81" i="21"/>
  <c r="AL83" i="21" s="1"/>
  <c r="AM81" i="21"/>
  <c r="AM83" i="21" s="1"/>
  <c r="AN81" i="21"/>
  <c r="AN83" i="21" s="1"/>
  <c r="AO81" i="21"/>
  <c r="AO83" i="21" s="1"/>
  <c r="AO305" i="21"/>
  <c r="AO307" i="21" s="1"/>
  <c r="AN305" i="21"/>
  <c r="AN307" i="21" s="1"/>
  <c r="AM305" i="21"/>
  <c r="AM307" i="21" s="1"/>
  <c r="AL305" i="21"/>
  <c r="AL307" i="21" s="1"/>
  <c r="AK305" i="21"/>
  <c r="AK307" i="21" s="1"/>
  <c r="AJ305" i="21"/>
  <c r="AJ307" i="21" s="1"/>
  <c r="AI305" i="21"/>
  <c r="AI307" i="21" s="1"/>
  <c r="AH305" i="21"/>
  <c r="AH307" i="21" s="1"/>
  <c r="AG305" i="21"/>
  <c r="AG307" i="21" s="1"/>
  <c r="AO298" i="21"/>
  <c r="AO300" i="21" s="1"/>
  <c r="AN298" i="21"/>
  <c r="AN300" i="21" s="1"/>
  <c r="AM298" i="21"/>
  <c r="AM300" i="21" s="1"/>
  <c r="AL298" i="21"/>
  <c r="AL300" i="21" s="1"/>
  <c r="AK298" i="21"/>
  <c r="AK300" i="21" s="1"/>
  <c r="AJ298" i="21"/>
  <c r="AJ300" i="21" s="1"/>
  <c r="AI298" i="21"/>
  <c r="AI300" i="21" s="1"/>
  <c r="AH298" i="21"/>
  <c r="AH300" i="21" s="1"/>
  <c r="AG298" i="21"/>
  <c r="AG300" i="21" s="1"/>
  <c r="AO291" i="21"/>
  <c r="AO293" i="21" s="1"/>
  <c r="AN291" i="21"/>
  <c r="AN293" i="21" s="1"/>
  <c r="AM291" i="21"/>
  <c r="AM293" i="21" s="1"/>
  <c r="AL291" i="21"/>
  <c r="AL293" i="21" s="1"/>
  <c r="AK291" i="21"/>
  <c r="AK293" i="21" s="1"/>
  <c r="AJ291" i="21"/>
  <c r="AJ293" i="21" s="1"/>
  <c r="AI291" i="21"/>
  <c r="AI293" i="21" s="1"/>
  <c r="AH291" i="21"/>
  <c r="AH293" i="21" s="1"/>
  <c r="AG291" i="21"/>
  <c r="AG293" i="21" s="1"/>
  <c r="AO284" i="21"/>
  <c r="AO286" i="21" s="1"/>
  <c r="AN284" i="21"/>
  <c r="AN286" i="21" s="1"/>
  <c r="AM284" i="21"/>
  <c r="AM286" i="21" s="1"/>
  <c r="AL284" i="21"/>
  <c r="AL286" i="21" s="1"/>
  <c r="AK284" i="21"/>
  <c r="AK286" i="21" s="1"/>
  <c r="AJ284" i="21"/>
  <c r="AJ286" i="21" s="1"/>
  <c r="AI284" i="21"/>
  <c r="AI286" i="21" s="1"/>
  <c r="AH284" i="21"/>
  <c r="AH286" i="21" s="1"/>
  <c r="AG284" i="21"/>
  <c r="AG286" i="21" s="1"/>
  <c r="AO266" i="21"/>
  <c r="AO268" i="21" s="1"/>
  <c r="AN266" i="21"/>
  <c r="AN268" i="21" s="1"/>
  <c r="AM266" i="21"/>
  <c r="AM268" i="21" s="1"/>
  <c r="AL266" i="21"/>
  <c r="AL268" i="21" s="1"/>
  <c r="AK266" i="21"/>
  <c r="AK268" i="21" s="1"/>
  <c r="AJ266" i="21"/>
  <c r="AJ268" i="21" s="1"/>
  <c r="AI266" i="21"/>
  <c r="AI268" i="21" s="1"/>
  <c r="AH266" i="21"/>
  <c r="AH268" i="21" s="1"/>
  <c r="AG266" i="21"/>
  <c r="AG268" i="21" s="1"/>
  <c r="AO259" i="21"/>
  <c r="AO261" i="21" s="1"/>
  <c r="AN259" i="21"/>
  <c r="AN261" i="21" s="1"/>
  <c r="AM259" i="21"/>
  <c r="AM261" i="21" s="1"/>
  <c r="AL259" i="21"/>
  <c r="AL261" i="21" s="1"/>
  <c r="AK259" i="21"/>
  <c r="AK261" i="21" s="1"/>
  <c r="AJ259" i="21"/>
  <c r="AJ261" i="21" s="1"/>
  <c r="AI259" i="21"/>
  <c r="AI261" i="21" s="1"/>
  <c r="AH259" i="21"/>
  <c r="AH261" i="21" s="1"/>
  <c r="AG259" i="21"/>
  <c r="AG261" i="21" s="1"/>
  <c r="AO252" i="21"/>
  <c r="AN252" i="21"/>
  <c r="AM252" i="21"/>
  <c r="AL252" i="21"/>
  <c r="AK252" i="21"/>
  <c r="AJ252" i="21"/>
  <c r="AI252" i="21"/>
  <c r="AH252" i="21"/>
  <c r="AG252" i="21"/>
  <c r="AO248" i="21"/>
  <c r="AN248" i="21"/>
  <c r="AM248" i="21"/>
  <c r="AL248" i="21"/>
  <c r="AK248" i="21"/>
  <c r="AJ248" i="21"/>
  <c r="AI248" i="21"/>
  <c r="AH248" i="21"/>
  <c r="AG248" i="21"/>
  <c r="AO244" i="21"/>
  <c r="AN244" i="21"/>
  <c r="AM244" i="21"/>
  <c r="AL244" i="21"/>
  <c r="AK244" i="21"/>
  <c r="AJ244" i="21"/>
  <c r="AI244" i="21"/>
  <c r="AH244" i="21"/>
  <c r="AG244" i="21"/>
  <c r="AO234" i="21"/>
  <c r="AN234" i="21"/>
  <c r="AM234" i="21"/>
  <c r="AL234" i="21"/>
  <c r="AK234" i="21"/>
  <c r="AJ234" i="21"/>
  <c r="AI234" i="21"/>
  <c r="AH234" i="21"/>
  <c r="AG234" i="21"/>
  <c r="AO202" i="21"/>
  <c r="AO204" i="21" s="1"/>
  <c r="AN202" i="21"/>
  <c r="AN204" i="21" s="1"/>
  <c r="AM202" i="21"/>
  <c r="AM204" i="21" s="1"/>
  <c r="AL202" i="21"/>
  <c r="AL204" i="21" s="1"/>
  <c r="AK202" i="21"/>
  <c r="AK204" i="21" s="1"/>
  <c r="AJ202" i="21"/>
  <c r="AJ204" i="21" s="1"/>
  <c r="AI202" i="21"/>
  <c r="AI204" i="21" s="1"/>
  <c r="AH202" i="21"/>
  <c r="AH204" i="21" s="1"/>
  <c r="AG202" i="21"/>
  <c r="AG204" i="21" s="1"/>
  <c r="AO189" i="21"/>
  <c r="AO191" i="21" s="1"/>
  <c r="AN189" i="21"/>
  <c r="AN191" i="21" s="1"/>
  <c r="AM189" i="21"/>
  <c r="AM191" i="21" s="1"/>
  <c r="AL189" i="21"/>
  <c r="AL191" i="21" s="1"/>
  <c r="AK189" i="21"/>
  <c r="AK191" i="21" s="1"/>
  <c r="AJ189" i="21"/>
  <c r="AJ191" i="21" s="1"/>
  <c r="AI189" i="21"/>
  <c r="AI191" i="21" s="1"/>
  <c r="AH189" i="21"/>
  <c r="AH191" i="21" s="1"/>
  <c r="AG189" i="21"/>
  <c r="AG191" i="21" s="1"/>
  <c r="AI166" i="21"/>
  <c r="AI168" i="21" s="1"/>
  <c r="AH166" i="21"/>
  <c r="AH168" i="21" s="1"/>
  <c r="AG166" i="21"/>
  <c r="AG168" i="21" s="1"/>
  <c r="AO159" i="21"/>
  <c r="AO161" i="21" s="1"/>
  <c r="AN159" i="21"/>
  <c r="AN161" i="21" s="1"/>
  <c r="AM159" i="21"/>
  <c r="AM161" i="21" s="1"/>
  <c r="AL159" i="21"/>
  <c r="AL161" i="21" s="1"/>
  <c r="AK159" i="21"/>
  <c r="AK161" i="21" s="1"/>
  <c r="AJ159" i="21"/>
  <c r="AJ161" i="21" s="1"/>
  <c r="AI159" i="21"/>
  <c r="AI161" i="21" s="1"/>
  <c r="AH159" i="21"/>
  <c r="AH161" i="21" s="1"/>
  <c r="AG159" i="21"/>
  <c r="AG161" i="21" s="1"/>
  <c r="AO144" i="21"/>
  <c r="AO146" i="21" s="1"/>
  <c r="AN144" i="21"/>
  <c r="AN146" i="21" s="1"/>
  <c r="AM144" i="21"/>
  <c r="AM146" i="21" s="1"/>
  <c r="AL144" i="21"/>
  <c r="AL146" i="21" s="1"/>
  <c r="AK144" i="21"/>
  <c r="AK146" i="21" s="1"/>
  <c r="AJ144" i="21"/>
  <c r="AJ146" i="21" s="1"/>
  <c r="AI144" i="21"/>
  <c r="AI146" i="21" s="1"/>
  <c r="AH144" i="21"/>
  <c r="AH146" i="21" s="1"/>
  <c r="AG144" i="21"/>
  <c r="AG146" i="21" s="1"/>
  <c r="AJ132" i="21"/>
  <c r="AJ134" i="21" s="1"/>
  <c r="AI132" i="21"/>
  <c r="AI134" i="21" s="1"/>
  <c r="AH132" i="21"/>
  <c r="AH134" i="21" s="1"/>
  <c r="AG132" i="21"/>
  <c r="AG134" i="21" s="1"/>
  <c r="AO112" i="21"/>
  <c r="AN112" i="21"/>
  <c r="AM112" i="21"/>
  <c r="AL112" i="21"/>
  <c r="AK112" i="21"/>
  <c r="AJ112" i="21"/>
  <c r="AI112" i="21"/>
  <c r="AG112" i="21"/>
  <c r="AO101" i="21"/>
  <c r="AN101" i="21"/>
  <c r="AM101" i="21"/>
  <c r="AL101" i="21"/>
  <c r="AK101" i="21"/>
  <c r="AJ101" i="21"/>
  <c r="AI101" i="21"/>
  <c r="AH101" i="21"/>
  <c r="AG101" i="21"/>
  <c r="AO88" i="21"/>
  <c r="AO90" i="21" s="1"/>
  <c r="AN88" i="21"/>
  <c r="AN90" i="21" s="1"/>
  <c r="AM88" i="21"/>
  <c r="AM90" i="21" s="1"/>
  <c r="AJ88" i="21"/>
  <c r="AJ90" i="21" s="1"/>
  <c r="AI88" i="21"/>
  <c r="AI90" i="21" s="1"/>
  <c r="AH88" i="21"/>
  <c r="AH90" i="21" s="1"/>
  <c r="AG88" i="21"/>
  <c r="AG90" i="21" s="1"/>
  <c r="AO60" i="21"/>
  <c r="AO62" i="21" s="1"/>
  <c r="AN60" i="21"/>
  <c r="AN62" i="21" s="1"/>
  <c r="AM60" i="21"/>
  <c r="AM62" i="21" s="1"/>
  <c r="AL60" i="21"/>
  <c r="AL62" i="21" s="1"/>
  <c r="AK60" i="21"/>
  <c r="AK62" i="21" s="1"/>
  <c r="AJ60" i="21"/>
  <c r="AJ62" i="21" s="1"/>
  <c r="AI60" i="21"/>
  <c r="AI62" i="21" s="1"/>
  <c r="AH60" i="21"/>
  <c r="AH62" i="21" s="1"/>
  <c r="AJ51" i="21"/>
  <c r="AI51" i="21"/>
  <c r="AH51" i="21"/>
  <c r="AG51" i="21"/>
  <c r="AO38" i="21"/>
  <c r="AO40" i="21" s="1"/>
  <c r="AN38" i="21"/>
  <c r="AN40" i="21" s="1"/>
  <c r="AM38" i="21"/>
  <c r="AM40" i="21" s="1"/>
  <c r="AL38" i="21"/>
  <c r="AL40" i="21" s="1"/>
  <c r="AK38" i="21"/>
  <c r="AK40" i="21" s="1"/>
  <c r="AJ38" i="21"/>
  <c r="AJ40" i="21" s="1"/>
  <c r="AI38" i="21"/>
  <c r="AI40" i="21" s="1"/>
  <c r="AH38" i="21"/>
  <c r="AH40" i="21" s="1"/>
  <c r="AG38" i="21"/>
  <c r="AG40" i="21" s="1"/>
  <c r="AO30" i="21"/>
  <c r="AO32" i="21" s="1"/>
  <c r="AN30" i="21"/>
  <c r="AN32" i="21" s="1"/>
  <c r="AM30" i="21"/>
  <c r="AM32" i="21" s="1"/>
  <c r="AL30" i="21"/>
  <c r="AL32" i="21" s="1"/>
  <c r="AK30" i="21"/>
  <c r="AK32" i="21" s="1"/>
  <c r="AJ30" i="21"/>
  <c r="AJ32" i="21" s="1"/>
  <c r="AI30" i="21"/>
  <c r="AI32" i="21" s="1"/>
  <c r="AH30" i="21"/>
  <c r="AH32" i="21" s="1"/>
  <c r="AG30" i="21"/>
  <c r="AG32" i="21" s="1"/>
  <c r="AO23" i="21"/>
  <c r="AO25" i="21" s="1"/>
  <c r="AN23" i="21"/>
  <c r="AN25" i="21" s="1"/>
  <c r="AM23" i="21"/>
  <c r="AM25" i="21" s="1"/>
  <c r="AL23" i="21"/>
  <c r="AL25" i="21" s="1"/>
  <c r="AK23" i="21"/>
  <c r="AK25" i="21" s="1"/>
  <c r="AJ23" i="21"/>
  <c r="AJ25" i="21" s="1"/>
  <c r="AI23" i="21"/>
  <c r="AI25" i="21" s="1"/>
  <c r="AH23" i="21"/>
  <c r="AH25" i="21" s="1"/>
  <c r="AO13" i="21"/>
  <c r="AO15" i="21" s="1"/>
  <c r="AN13" i="21"/>
  <c r="AN15" i="21" s="1"/>
  <c r="AM13" i="21"/>
  <c r="AM15" i="21" s="1"/>
  <c r="AL13" i="21"/>
  <c r="AL15" i="21" s="1"/>
  <c r="AK13" i="21"/>
  <c r="AK15" i="21" s="1"/>
  <c r="AJ13" i="21"/>
  <c r="AJ15" i="21" s="1"/>
  <c r="AI13" i="21"/>
  <c r="AI15" i="21" s="1"/>
  <c r="AH13" i="21"/>
  <c r="AH15" i="21" s="1"/>
  <c r="AG13" i="21"/>
  <c r="AG15" i="21" s="1"/>
  <c r="AF220" i="21"/>
  <c r="AH114" i="21" l="1"/>
  <c r="AL114" i="21"/>
  <c r="AO114" i="21"/>
  <c r="AJ114" i="21"/>
  <c r="AM114" i="21"/>
  <c r="AG254" i="21"/>
  <c r="AK254" i="21"/>
  <c r="AN254" i="21"/>
  <c r="AI254" i="21"/>
  <c r="AH254" i="21"/>
  <c r="AL254" i="21"/>
  <c r="AO254" i="21"/>
  <c r="AJ254" i="21"/>
  <c r="AM254" i="21"/>
  <c r="AG114" i="21"/>
  <c r="AK114" i="21"/>
  <c r="AN114" i="21"/>
  <c r="AI114" i="21"/>
  <c r="AM309" i="21" l="1"/>
  <c r="AH309" i="21"/>
  <c r="AJ309" i="21"/>
  <c r="AO309" i="21"/>
  <c r="AN309" i="21"/>
  <c r="AL309" i="21"/>
  <c r="AK309" i="21"/>
  <c r="AG309" i="21"/>
  <c r="AI309" i="21"/>
  <c r="AF12" i="21"/>
  <c r="U12" i="21" s="1"/>
  <c r="T15" i="21"/>
  <c r="R15" i="21"/>
  <c r="P13" i="21"/>
  <c r="P15" i="21" s="1"/>
  <c r="AF9" i="21"/>
  <c r="S9" i="21" l="1"/>
  <c r="S13" i="21" s="1"/>
  <c r="S15" i="21" s="1"/>
  <c r="AF13" i="21"/>
  <c r="AF15" i="21" s="1"/>
  <c r="AB15" i="21"/>
  <c r="AB309" i="21" l="1"/>
  <c r="U13" i="21"/>
  <c r="U15" i="21" s="1"/>
  <c r="T266" i="21"/>
  <c r="T268" i="21" s="1"/>
  <c r="R266" i="21"/>
  <c r="R268" i="21" s="1"/>
  <c r="P266" i="21"/>
  <c r="P268" i="21" s="1"/>
  <c r="AF265" i="21"/>
  <c r="AF266" i="21" l="1"/>
  <c r="AF268" i="21" s="1"/>
  <c r="S265" i="21"/>
  <c r="S266" i="21" s="1"/>
  <c r="S268" i="21" s="1"/>
  <c r="U266" i="21"/>
  <c r="U268" i="21" s="1"/>
  <c r="AJ196" i="25" l="1"/>
  <c r="AJ198" i="25" s="1"/>
  <c r="AJ189" i="25"/>
  <c r="AJ191" i="25" s="1"/>
  <c r="AJ182" i="25"/>
  <c r="AJ184" i="25" s="1"/>
  <c r="AJ175" i="25"/>
  <c r="AJ172" i="25"/>
  <c r="AJ169" i="25"/>
  <c r="AJ166" i="25"/>
  <c r="AJ158" i="25"/>
  <c r="AJ160" i="25" s="1"/>
  <c r="AJ146" i="25"/>
  <c r="AJ148" i="25" s="1"/>
  <c r="AJ135" i="25"/>
  <c r="AJ137" i="25" s="1"/>
  <c r="AJ124" i="25"/>
  <c r="AJ126" i="25" s="1"/>
  <c r="AJ108" i="25"/>
  <c r="AJ111" i="25" s="1"/>
  <c r="AJ96" i="25"/>
  <c r="AJ98" i="25" s="1"/>
  <c r="AJ88" i="25"/>
  <c r="AJ90" i="25" s="1"/>
  <c r="AJ75" i="25"/>
  <c r="AJ77" i="25" s="1"/>
  <c r="AJ68" i="25"/>
  <c r="AJ70" i="25" s="1"/>
  <c r="AJ53" i="25"/>
  <c r="AJ45" i="25"/>
  <c r="AJ47" i="25" s="1"/>
  <c r="AJ41" i="25"/>
  <c r="AJ38" i="25"/>
  <c r="AJ40" i="25" s="1"/>
  <c r="AJ31" i="25"/>
  <c r="AJ33" i="25" s="1"/>
  <c r="AJ29" i="25"/>
  <c r="AJ34" i="25" s="1"/>
  <c r="AJ11" i="25"/>
  <c r="AJ10" i="25"/>
  <c r="AJ12" i="25" s="1"/>
  <c r="AJ14" i="25" s="1"/>
  <c r="AJ177" i="25" l="1"/>
  <c r="AJ55" i="25"/>
  <c r="AJ59" i="25" s="1"/>
  <c r="AJ61" i="25" s="1"/>
  <c r="T25" i="21"/>
  <c r="R25" i="21"/>
  <c r="P23" i="21"/>
  <c r="P25" i="21" s="1"/>
  <c r="AJ200" i="25" l="1"/>
  <c r="U23" i="21"/>
  <c r="U25" i="21" s="1"/>
  <c r="AF237" i="21" l="1"/>
  <c r="AF240" i="21" s="1"/>
  <c r="U240" i="21" l="1"/>
  <c r="S237" i="21"/>
  <c r="S240" i="21" s="1"/>
  <c r="AF100" i="21"/>
  <c r="U100" i="21" s="1"/>
  <c r="AF210" i="21" l="1"/>
  <c r="U210" i="21" l="1"/>
  <c r="T83" i="21"/>
  <c r="R83" i="21"/>
  <c r="P81" i="21"/>
  <c r="P83" i="21" s="1"/>
  <c r="AF73" i="21"/>
  <c r="U73" i="21" s="1"/>
  <c r="AF71" i="21"/>
  <c r="U71" i="21" s="1"/>
  <c r="AF67" i="21"/>
  <c r="P221" i="21"/>
  <c r="U67" i="21" l="1"/>
  <c r="T229" i="21"/>
  <c r="R229" i="21"/>
  <c r="P229" i="21"/>
  <c r="AF225" i="21"/>
  <c r="AF219" i="21"/>
  <c r="AF215" i="21"/>
  <c r="U215" i="21" s="1"/>
  <c r="AF209" i="21"/>
  <c r="AF75" i="21"/>
  <c r="U75" i="21" s="1"/>
  <c r="AF78" i="21"/>
  <c r="U78" i="21" s="1"/>
  <c r="AF69" i="21"/>
  <c r="U69" i="21" s="1"/>
  <c r="U225" i="21" l="1"/>
  <c r="U209" i="21"/>
  <c r="AF226" i="21" l="1"/>
  <c r="AF229" i="21" s="1"/>
  <c r="U226" i="21" l="1"/>
  <c r="U229" i="21" s="1"/>
  <c r="AF212" i="21" l="1"/>
  <c r="S212" i="21" l="1"/>
  <c r="S221" i="21" s="1"/>
  <c r="L12" i="25" l="1"/>
  <c r="J12" i="25"/>
  <c r="J14" i="25" s="1"/>
  <c r="J45" i="25"/>
  <c r="J47" i="25" s="1"/>
  <c r="AF165" i="21"/>
  <c r="AF166" i="21" s="1"/>
  <c r="R244" i="21"/>
  <c r="P244" i="21"/>
  <c r="T234" i="21"/>
  <c r="R132" i="21"/>
  <c r="R134" i="21" s="1"/>
  <c r="P132" i="21"/>
  <c r="P134" i="21" s="1"/>
  <c r="T259" i="21"/>
  <c r="P259" i="21"/>
  <c r="P261" i="21" s="1"/>
  <c r="P189" i="21"/>
  <c r="P191" i="21" s="1"/>
  <c r="P166" i="21"/>
  <c r="P168" i="21" s="1"/>
  <c r="P144" i="21"/>
  <c r="P146" i="21" s="1"/>
  <c r="T124" i="21"/>
  <c r="R124" i="21"/>
  <c r="P124" i="21"/>
  <c r="P126" i="21" s="1"/>
  <c r="T112" i="21"/>
  <c r="R112" i="21"/>
  <c r="P112" i="21"/>
  <c r="R101" i="21"/>
  <c r="P101" i="21"/>
  <c r="P88" i="21"/>
  <c r="S60" i="21"/>
  <c r="S62" i="21" s="1"/>
  <c r="R60" i="21"/>
  <c r="P60" i="21"/>
  <c r="P49" i="21"/>
  <c r="P30" i="21"/>
  <c r="T305" i="21"/>
  <c r="T307" i="21" s="1"/>
  <c r="R305" i="21"/>
  <c r="R307" i="21" s="1"/>
  <c r="P305" i="21"/>
  <c r="P307" i="21" s="1"/>
  <c r="T298" i="21"/>
  <c r="T300" i="21" s="1"/>
  <c r="R298" i="21"/>
  <c r="R300" i="21" s="1"/>
  <c r="P298" i="21"/>
  <c r="P300" i="21" s="1"/>
  <c r="T291" i="21"/>
  <c r="T293" i="21" s="1"/>
  <c r="R291" i="21"/>
  <c r="R293" i="21" s="1"/>
  <c r="P291" i="21"/>
  <c r="P293" i="21" s="1"/>
  <c r="P284" i="21"/>
  <c r="P286" i="21" s="1"/>
  <c r="P252" i="21"/>
  <c r="P248" i="21"/>
  <c r="R234" i="21"/>
  <c r="P234" i="21"/>
  <c r="T132" i="21"/>
  <c r="T134" i="21" s="1"/>
  <c r="T165" i="21"/>
  <c r="R165" i="21"/>
  <c r="R166" i="21" s="1"/>
  <c r="T144" i="21"/>
  <c r="T146" i="21" s="1"/>
  <c r="R144" i="21"/>
  <c r="P254" i="21" l="1"/>
  <c r="P114" i="21"/>
  <c r="P90" i="21" l="1"/>
  <c r="T60" i="21"/>
  <c r="T62" i="21" s="1"/>
  <c r="P32" i="21"/>
  <c r="P51" i="21"/>
  <c r="P62" i="21"/>
  <c r="R62" i="21"/>
  <c r="U49" i="21"/>
  <c r="U51" i="21" s="1"/>
  <c r="T49" i="21"/>
  <c r="P309" i="21" l="1"/>
  <c r="AF141" i="21"/>
  <c r="AF142" i="21"/>
  <c r="S142" i="21" s="1"/>
  <c r="S141" i="21" l="1"/>
  <c r="AF233" i="21"/>
  <c r="S233" i="21" s="1"/>
  <c r="S234" i="21" s="1"/>
  <c r="AF80" i="21"/>
  <c r="AF81" i="21" l="1"/>
  <c r="AF83" i="21" s="1"/>
  <c r="U81" i="21"/>
  <c r="U83" i="21" s="1"/>
  <c r="AP53" i="25"/>
  <c r="AO53" i="25"/>
  <c r="AN53" i="25"/>
  <c r="AM53" i="25"/>
  <c r="AP44" i="25"/>
  <c r="AP45" i="25" s="1"/>
  <c r="AP47" i="25" s="1"/>
  <c r="AO45" i="25"/>
  <c r="AO47" i="25" s="1"/>
  <c r="AN44" i="25"/>
  <c r="AN45" i="25" s="1"/>
  <c r="AN47" i="25" s="1"/>
  <c r="AM44" i="25"/>
  <c r="AM45" i="25" s="1"/>
  <c r="AM47" i="25" s="1"/>
  <c r="AP37" i="25"/>
  <c r="AN37" i="25"/>
  <c r="AM37" i="25"/>
  <c r="AP30" i="25"/>
  <c r="AN30" i="25"/>
  <c r="AM30" i="25"/>
  <c r="AP11" i="25"/>
  <c r="AN11" i="25"/>
  <c r="AM11" i="25"/>
  <c r="AP10" i="25"/>
  <c r="AN10" i="25"/>
  <c r="AM10" i="25"/>
  <c r="AP9" i="25"/>
  <c r="AN9" i="25"/>
  <c r="Z9" i="25"/>
  <c r="AM9" i="25"/>
  <c r="S81" i="21" l="1"/>
  <c r="S83" i="21" s="1"/>
  <c r="AL31" i="25" l="1"/>
  <c r="AL33" i="25" s="1"/>
  <c r="AI31" i="25"/>
  <c r="AI33" i="25" s="1"/>
  <c r="AH31" i="25"/>
  <c r="AH33" i="25" s="1"/>
  <c r="AE31" i="25"/>
  <c r="AE33" i="25" s="1"/>
  <c r="AD31" i="25"/>
  <c r="AD33" i="25" s="1"/>
  <c r="AC31" i="25"/>
  <c r="AC33" i="25" s="1"/>
  <c r="AB31" i="25"/>
  <c r="AB33" i="25" s="1"/>
  <c r="AA31" i="25"/>
  <c r="AA33" i="25" s="1"/>
  <c r="O31" i="25"/>
  <c r="O33" i="25" s="1"/>
  <c r="N31" i="25"/>
  <c r="N33" i="25" s="1"/>
  <c r="L31" i="25"/>
  <c r="L33" i="25" s="1"/>
  <c r="J31" i="25"/>
  <c r="J33" i="25" s="1"/>
  <c r="AP31" i="25"/>
  <c r="AP33" i="25" s="1"/>
  <c r="AO31" i="25"/>
  <c r="AO33" i="25" s="1"/>
  <c r="AN31" i="25"/>
  <c r="AN33" i="25" s="1"/>
  <c r="AM31" i="25"/>
  <c r="AM33" i="25" s="1"/>
  <c r="Z30" i="25"/>
  <c r="AL29" i="25"/>
  <c r="AL34" i="25" s="1"/>
  <c r="AF304" i="21"/>
  <c r="U304" i="21" s="1"/>
  <c r="AF297" i="21"/>
  <c r="AF298" i="21" s="1"/>
  <c r="AF300" i="21" s="1"/>
  <c r="Z31" i="25" l="1"/>
  <c r="Z33" i="25" s="1"/>
  <c r="M30" i="25"/>
  <c r="M31" i="25" s="1"/>
  <c r="M33" i="25" s="1"/>
  <c r="S305" i="21"/>
  <c r="S307" i="21" s="1"/>
  <c r="AF305" i="21"/>
  <c r="AF307" i="21" s="1"/>
  <c r="U305" i="21"/>
  <c r="U307" i="21" s="1"/>
  <c r="U297" i="21"/>
  <c r="U298" i="21" s="1"/>
  <c r="U300" i="21" s="1"/>
  <c r="S297" i="21"/>
  <c r="S298" i="21" s="1"/>
  <c r="S300" i="21" s="1"/>
  <c r="AF111" i="21" l="1"/>
  <c r="S111" i="21" s="1"/>
  <c r="AF108" i="21"/>
  <c r="S108" i="21" s="1"/>
  <c r="AF106" i="21"/>
  <c r="S106" i="21" s="1"/>
  <c r="AF104" i="21"/>
  <c r="T101" i="21"/>
  <c r="T114" i="21" s="1"/>
  <c r="R114" i="21"/>
  <c r="AF98" i="21"/>
  <c r="U98" i="21" s="1"/>
  <c r="AF95" i="21"/>
  <c r="AF101" i="21" l="1"/>
  <c r="U95" i="21"/>
  <c r="U101" i="21" s="1"/>
  <c r="U114" i="21" s="1"/>
  <c r="S104" i="21"/>
  <c r="S112" i="21" s="1"/>
  <c r="S114" i="21" s="1"/>
  <c r="AF112" i="21"/>
  <c r="AF114" i="21" l="1"/>
  <c r="AF59" i="21" l="1"/>
  <c r="U59" i="21" s="1"/>
  <c r="AF56" i="21"/>
  <c r="AC60" i="21" l="1"/>
  <c r="AC62" i="21" s="1"/>
  <c r="AF60" i="21"/>
  <c r="AF62" i="21" s="1"/>
  <c r="U56" i="21"/>
  <c r="U60" i="21" s="1"/>
  <c r="U62" i="21" s="1"/>
  <c r="AL41" i="25"/>
  <c r="AL45" i="25"/>
  <c r="AL47" i="25" s="1"/>
  <c r="AI45" i="25"/>
  <c r="AI47" i="25" s="1"/>
  <c r="AH45" i="25"/>
  <c r="AH47" i="25" s="1"/>
  <c r="AG45" i="25"/>
  <c r="AG47" i="25" s="1"/>
  <c r="AF45" i="25"/>
  <c r="AF47" i="25" s="1"/>
  <c r="AE45" i="25"/>
  <c r="AE47" i="25" s="1"/>
  <c r="AD45" i="25"/>
  <c r="AD47" i="25" s="1"/>
  <c r="AC45" i="25"/>
  <c r="AC47" i="25" s="1"/>
  <c r="AB45" i="25"/>
  <c r="AB47" i="25" s="1"/>
  <c r="AA45" i="25"/>
  <c r="AA47" i="25" s="1"/>
  <c r="N45" i="25"/>
  <c r="L45" i="25"/>
  <c r="Z44" i="25"/>
  <c r="T261" i="21"/>
  <c r="R259" i="21"/>
  <c r="R261" i="21" s="1"/>
  <c r="AF258" i="21"/>
  <c r="AF188" i="21"/>
  <c r="AF189" i="21" s="1"/>
  <c r="AF191" i="21" s="1"/>
  <c r="AF123" i="21"/>
  <c r="S123" i="21" s="1"/>
  <c r="AC309" i="21" l="1"/>
  <c r="AF311" i="21" s="1"/>
  <c r="AF259" i="21"/>
  <c r="AF261" i="21" s="1"/>
  <c r="U258" i="21"/>
  <c r="U259" i="21" s="1"/>
  <c r="U261" i="21" s="1"/>
  <c r="O44" i="25"/>
  <c r="O45" i="25" s="1"/>
  <c r="O47" i="25" s="1"/>
  <c r="S188" i="21"/>
  <c r="S189" i="21" s="1"/>
  <c r="S191" i="21" s="1"/>
  <c r="U165" i="21"/>
  <c r="S165" i="21"/>
  <c r="S166" i="21" s="1"/>
  <c r="S259" i="21"/>
  <c r="S261" i="21" s="1"/>
  <c r="AF131" i="21"/>
  <c r="M44" i="25"/>
  <c r="M45" i="25" s="1"/>
  <c r="M47" i="25" s="1"/>
  <c r="Z45" i="25"/>
  <c r="Z47" i="25" s="1"/>
  <c r="U131" i="21" l="1"/>
  <c r="U132" i="21" s="1"/>
  <c r="U134" i="21" s="1"/>
  <c r="AF132" i="21"/>
  <c r="AF134" i="21" s="1"/>
  <c r="AF87" i="21" l="1"/>
  <c r="S87" i="21" l="1"/>
  <c r="AF88" i="21"/>
  <c r="AA12" i="25"/>
  <c r="AA14" i="25" s="1"/>
  <c r="AB12" i="25"/>
  <c r="AB14" i="25" s="1"/>
  <c r="AC12" i="25"/>
  <c r="AC14" i="25" s="1"/>
  <c r="AD12" i="25"/>
  <c r="AD14" i="25" s="1"/>
  <c r="AE12" i="25"/>
  <c r="AE14" i="25" s="1"/>
  <c r="AF12" i="25"/>
  <c r="AF14" i="25" s="1"/>
  <c r="AG12" i="25"/>
  <c r="AG14" i="25" s="1"/>
  <c r="AH12" i="25"/>
  <c r="AH14" i="25" s="1"/>
  <c r="AI12" i="25"/>
  <c r="AI14" i="25" s="1"/>
  <c r="AA38" i="25"/>
  <c r="AA40" i="25" s="1"/>
  <c r="AA55" i="25" s="1"/>
  <c r="AB38" i="25"/>
  <c r="AB40" i="25" s="1"/>
  <c r="AC38" i="25"/>
  <c r="AC40" i="25" s="1"/>
  <c r="AC55" i="25" s="1"/>
  <c r="AD38" i="25"/>
  <c r="AD40" i="25" s="1"/>
  <c r="AE38" i="25"/>
  <c r="AE40" i="25" s="1"/>
  <c r="AE55" i="25" s="1"/>
  <c r="AF38" i="25"/>
  <c r="AF40" i="25" s="1"/>
  <c r="AG38" i="25"/>
  <c r="AG40" i="25" s="1"/>
  <c r="AG55" i="25" s="1"/>
  <c r="AH38" i="25"/>
  <c r="AH40" i="25" s="1"/>
  <c r="AI38" i="25"/>
  <c r="AI40" i="25" s="1"/>
  <c r="AI55" i="25" s="1"/>
  <c r="AH55" i="25" l="1"/>
  <c r="AD55" i="25"/>
  <c r="AF55" i="25"/>
  <c r="AB55" i="25"/>
  <c r="AF45" i="21"/>
  <c r="AF49" i="21" s="1"/>
  <c r="S45" i="21" l="1"/>
  <c r="S49" i="21" s="1"/>
  <c r="S51" i="21" s="1"/>
  <c r="AF232" i="21" l="1"/>
  <c r="AF234" i="21" s="1"/>
  <c r="U232" i="21" l="1"/>
  <c r="U234" i="21" s="1"/>
  <c r="AL10" i="25"/>
  <c r="Z10" i="25"/>
  <c r="O10" i="25" l="1"/>
  <c r="M10" i="25"/>
  <c r="T166" i="21" l="1"/>
  <c r="T126" i="21" l="1"/>
  <c r="R126" i="21"/>
  <c r="AF118" i="21"/>
  <c r="AF124" i="21" l="1"/>
  <c r="AF126" i="21" s="1"/>
  <c r="S118" i="21"/>
  <c r="S124" i="21" s="1"/>
  <c r="S126" i="21" s="1"/>
  <c r="T168" i="21" l="1"/>
  <c r="R168" i="21"/>
  <c r="AF168" i="21" l="1"/>
  <c r="U166" i="21"/>
  <c r="U168" i="21" s="1"/>
  <c r="S168" i="21" l="1"/>
  <c r="T88" i="21"/>
  <c r="T90" i="21" s="1"/>
  <c r="R88" i="21"/>
  <c r="R90" i="21" s="1"/>
  <c r="S88" i="21" l="1"/>
  <c r="S90" i="21" s="1"/>
  <c r="AF90" i="21"/>
  <c r="U88" i="21"/>
  <c r="U90" i="21" s="1"/>
  <c r="R30" i="21" l="1"/>
  <c r="AB42" i="21" l="1"/>
  <c r="T202" i="21" l="1"/>
  <c r="U202" i="21"/>
  <c r="R202" i="21"/>
  <c r="AI53" i="25" l="1"/>
  <c r="AH53" i="25"/>
  <c r="AG53" i="25"/>
  <c r="AF53" i="25"/>
  <c r="AE53" i="25"/>
  <c r="AD53" i="25"/>
  <c r="AC53" i="25"/>
  <c r="AB53" i="25"/>
  <c r="AA53" i="25"/>
  <c r="N53" i="25"/>
  <c r="L53" i="25"/>
  <c r="J53" i="25"/>
  <c r="O53" i="25"/>
  <c r="M53" i="25" l="1"/>
  <c r="Z53" i="25"/>
  <c r="U38" i="21"/>
  <c r="U40" i="21" s="1"/>
  <c r="T38" i="21"/>
  <c r="T40" i="21" s="1"/>
  <c r="R38" i="21"/>
  <c r="R40" i="21" s="1"/>
  <c r="P38" i="21"/>
  <c r="AB38" i="21"/>
  <c r="AB40" i="21" s="1"/>
  <c r="S38" i="21" l="1"/>
  <c r="S40" i="21" s="1"/>
  <c r="N38" i="25"/>
  <c r="N40" i="25" s="1"/>
  <c r="N47" i="25" s="1"/>
  <c r="L38" i="25"/>
  <c r="L40" i="25" s="1"/>
  <c r="L47" i="25" s="1"/>
  <c r="N12" i="25"/>
  <c r="N14" i="25" s="1"/>
  <c r="L14" i="25"/>
  <c r="T284" i="21"/>
  <c r="T286" i="21" s="1"/>
  <c r="R284" i="21"/>
  <c r="R286" i="21" s="1"/>
  <c r="T248" i="21"/>
  <c r="T252" i="21"/>
  <c r="R252" i="21"/>
  <c r="R248" i="21"/>
  <c r="T244" i="21"/>
  <c r="T204" i="21"/>
  <c r="R204" i="21"/>
  <c r="T189" i="21"/>
  <c r="T191" i="21" s="1"/>
  <c r="R189" i="21"/>
  <c r="R191" i="21" s="1"/>
  <c r="T159" i="21"/>
  <c r="T161" i="21" s="1"/>
  <c r="R159" i="21"/>
  <c r="R161" i="21" s="1"/>
  <c r="R146" i="21"/>
  <c r="T51" i="21"/>
  <c r="R51" i="21"/>
  <c r="T30" i="21"/>
  <c r="T32" i="21" s="1"/>
  <c r="R32" i="21"/>
  <c r="M38" i="25"/>
  <c r="M40" i="25" s="1"/>
  <c r="U248" i="21"/>
  <c r="U204" i="21"/>
  <c r="S30" i="21"/>
  <c r="S32" i="21" s="1"/>
  <c r="AL38" i="25"/>
  <c r="AL40" i="25" s="1"/>
  <c r="AL53" i="25" s="1"/>
  <c r="AP38" i="25"/>
  <c r="AP40" i="25" s="1"/>
  <c r="AO38" i="25"/>
  <c r="AO40" i="25" s="1"/>
  <c r="AN38" i="25"/>
  <c r="AN40" i="25" s="1"/>
  <c r="AM38" i="25"/>
  <c r="AM40" i="25" s="1"/>
  <c r="AN12" i="25"/>
  <c r="AN14" i="25" s="1"/>
  <c r="AM12" i="25"/>
  <c r="AM14" i="25" s="1"/>
  <c r="AP12" i="25"/>
  <c r="AP14" i="25" s="1"/>
  <c r="AO12" i="25"/>
  <c r="AO14" i="25" s="1"/>
  <c r="AL196" i="25"/>
  <c r="AL198" i="25" s="1"/>
  <c r="AL189" i="25"/>
  <c r="AL191" i="25" s="1"/>
  <c r="AL182" i="25"/>
  <c r="AL184" i="25" s="1"/>
  <c r="AL175" i="25"/>
  <c r="AL172" i="25"/>
  <c r="AL169" i="25"/>
  <c r="AL166" i="25"/>
  <c r="AL158" i="25"/>
  <c r="AL160" i="25" s="1"/>
  <c r="AL146" i="25"/>
  <c r="AL148" i="25" s="1"/>
  <c r="AL135" i="25"/>
  <c r="AL137" i="25" s="1"/>
  <c r="AL124" i="25"/>
  <c r="AL126" i="25" s="1"/>
  <c r="AL108" i="25"/>
  <c r="AL111" i="25" s="1"/>
  <c r="AL96" i="25"/>
  <c r="AL98" i="25" s="1"/>
  <c r="AL88" i="25"/>
  <c r="AL90" i="25" s="1"/>
  <c r="AL75" i="25"/>
  <c r="AL77" i="25" s="1"/>
  <c r="AL68" i="25"/>
  <c r="AL70" i="25" s="1"/>
  <c r="J38" i="25"/>
  <c r="J40" i="25" s="1"/>
  <c r="J55" i="25" s="1"/>
  <c r="Z37" i="25"/>
  <c r="Z11" i="25"/>
  <c r="L55" i="25" l="1"/>
  <c r="AO55" i="25"/>
  <c r="AP55" i="25"/>
  <c r="M11" i="25"/>
  <c r="Z12" i="25"/>
  <c r="Z14" i="25" s="1"/>
  <c r="AM55" i="25"/>
  <c r="N55" i="25"/>
  <c r="Z38" i="25"/>
  <c r="Z40" i="25" s="1"/>
  <c r="O37" i="25"/>
  <c r="O38" i="25" s="1"/>
  <c r="O40" i="25" s="1"/>
  <c r="AN55" i="25"/>
  <c r="R254" i="21"/>
  <c r="R309" i="21" s="1"/>
  <c r="T254" i="21"/>
  <c r="T309" i="21" s="1"/>
  <c r="O9" i="25"/>
  <c r="M9" i="25"/>
  <c r="O11" i="25"/>
  <c r="AL11" i="25"/>
  <c r="AL12" i="25" s="1"/>
  <c r="AL14" i="25" s="1"/>
  <c r="AL177" i="25"/>
  <c r="Z55" i="25" l="1"/>
  <c r="M12" i="25"/>
  <c r="M14" i="25" s="1"/>
  <c r="M55" i="25" s="1"/>
  <c r="L56" i="25"/>
  <c r="R310" i="21"/>
  <c r="O12" i="25"/>
  <c r="O14" i="25" s="1"/>
  <c r="O55" i="25" s="1"/>
  <c r="AL55" i="25"/>
  <c r="AL59" i="25" s="1"/>
  <c r="AL61" i="25" s="1"/>
  <c r="AL200" i="25" s="1"/>
  <c r="R311" i="21" l="1"/>
  <c r="M56" i="25"/>
  <c r="AM57" i="25"/>
  <c r="AB163" i="21"/>
  <c r="AF290" i="21" l="1"/>
  <c r="AF283" i="21"/>
  <c r="AF251" i="21"/>
  <c r="AF247" i="21"/>
  <c r="U159" i="21"/>
  <c r="U161" i="21" s="1"/>
  <c r="AF143" i="21"/>
  <c r="AF140" i="21"/>
  <c r="AF139" i="21"/>
  <c r="AF213" i="21"/>
  <c r="AF221" i="21" s="1"/>
  <c r="AF29" i="21"/>
  <c r="AF291" i="21" l="1"/>
  <c r="AF293" i="21" s="1"/>
  <c r="S290" i="21"/>
  <c r="U213" i="21"/>
  <c r="U221" i="21" s="1"/>
  <c r="S140" i="21"/>
  <c r="AF144" i="21"/>
  <c r="AF146" i="21" s="1"/>
  <c r="S143" i="21"/>
  <c r="S139" i="21"/>
  <c r="AB202" i="21"/>
  <c r="AB204" i="21" s="1"/>
  <c r="S159" i="21"/>
  <c r="S161" i="21" s="1"/>
  <c r="AF248" i="21"/>
  <c r="S247" i="21"/>
  <c r="S248" i="21" s="1"/>
  <c r="AF252" i="21"/>
  <c r="S251" i="21"/>
  <c r="S252" i="21" s="1"/>
  <c r="AF284" i="21"/>
  <c r="AF286" i="21" s="1"/>
  <c r="U283" i="21"/>
  <c r="U284" i="21" s="1"/>
  <c r="U286" i="21" s="1"/>
  <c r="S283" i="21"/>
  <c r="S284" i="21" s="1"/>
  <c r="S286" i="21" s="1"/>
  <c r="AF30" i="21"/>
  <c r="AF32" i="21" s="1"/>
  <c r="U29" i="21"/>
  <c r="U30" i="21" s="1"/>
  <c r="U32" i="21" s="1"/>
  <c r="AF51" i="21"/>
  <c r="AB159" i="21"/>
  <c r="AB161" i="21" s="1"/>
  <c r="S144" i="21" l="1"/>
  <c r="S146" i="21" s="1"/>
  <c r="AI312" i="21"/>
  <c r="S291" i="21"/>
  <c r="S293" i="21" s="1"/>
  <c r="U291" i="21"/>
  <c r="U293" i="21" s="1"/>
  <c r="S202" i="21"/>
  <c r="S204" i="21" s="1"/>
  <c r="AI313" i="21" l="1"/>
  <c r="AF243" i="21" l="1"/>
  <c r="S243" i="21" s="1"/>
  <c r="S244" i="21" s="1"/>
  <c r="S254" i="21" s="1"/>
  <c r="AF244" i="21" l="1"/>
  <c r="U243" i="21"/>
  <c r="U244" i="21" s="1"/>
  <c r="U254" i="21" s="1"/>
  <c r="U309" i="21" s="1"/>
  <c r="AF254" i="21" l="1"/>
  <c r="AF22" i="21" l="1"/>
  <c r="S22" i="21"/>
  <c r="AF21" i="21"/>
  <c r="S21" i="21" s="1"/>
  <c r="AF20" i="21"/>
  <c r="S20" i="21" s="1"/>
  <c r="AF23" i="21" l="1"/>
  <c r="AF25" i="21" s="1"/>
  <c r="S23" i="21"/>
  <c r="S25" i="21" s="1"/>
  <c r="S309" i="21" s="1"/>
  <c r="S310" i="21" s="1"/>
  <c r="S311" i="21" s="1"/>
  <c r="AF309" i="21" l="1"/>
  <c r="U310" i="21" l="1"/>
  <c r="AB311" i="21"/>
</calcChain>
</file>

<file path=xl/sharedStrings.xml><?xml version="1.0" encoding="utf-8"?>
<sst xmlns="http://schemas.openxmlformats.org/spreadsheetml/2006/main" count="1752" uniqueCount="437">
  <si>
    <t>DATOS GENERALES DE LA OBRA</t>
  </si>
  <si>
    <t>ZONAS DE ATENCIÓN PRIORITARIA
(ZAP)</t>
  </si>
  <si>
    <t>PRESUPUESTO</t>
  </si>
  <si>
    <t>No. OBRA</t>
  </si>
  <si>
    <t>PROG</t>
  </si>
  <si>
    <t>SUB.</t>
  </si>
  <si>
    <t>SUBCLASIFICACIÓN</t>
  </si>
  <si>
    <t>TIPO DE PROYECTO</t>
  </si>
  <si>
    <t>DESCRIPCION DE LA ACCION</t>
  </si>
  <si>
    <t>LOCALIDAD</t>
  </si>
  <si>
    <t>INSTANCIA PROPONENTE</t>
  </si>
  <si>
    <t>INSTANCIA EJECUTORA</t>
  </si>
  <si>
    <t>GRADO DE REZAGO SOCIAL DE LA LOCALIDAD</t>
  </si>
  <si>
    <t>GRADO DE MARGINACIÓN DE LA LOCALIDAD</t>
  </si>
  <si>
    <t>ASIGNACION AUTORIZADA INICIAL</t>
  </si>
  <si>
    <t>TRANSF. A LOS MUNICIPIOS</t>
  </si>
  <si>
    <t>MODALIDAD DEL PROYECTO</t>
  </si>
  <si>
    <t>TIPO DE CONTRIBUCIÓN AL PROYECTO</t>
  </si>
  <si>
    <t>Grado de rezago social localidad</t>
  </si>
  <si>
    <t>BENEFICIARIOS</t>
  </si>
  <si>
    <t>No aplica</t>
  </si>
  <si>
    <t>Dirección General de Obra Pública</t>
  </si>
  <si>
    <t>T O T A L:</t>
  </si>
  <si>
    <t>Varias</t>
  </si>
  <si>
    <t>Medio</t>
  </si>
  <si>
    <t>Muy bajo</t>
  </si>
  <si>
    <t>Bajo</t>
  </si>
  <si>
    <t>DIF Municipal</t>
  </si>
  <si>
    <t>IMUVIG</t>
  </si>
  <si>
    <t>Municipio</t>
  </si>
  <si>
    <t>Mantenimiento y bacheo en diversas áreas de la ciudad</t>
  </si>
  <si>
    <t>G R A N   T O T A L:</t>
  </si>
  <si>
    <t>Observaciones:</t>
  </si>
  <si>
    <t>(*) No se desglosan acciones o estan sujetas a modificaciones en estos rubros en virtud de que dependen de requerimientos detectados durante el transcurso del ejercicio para atender las necesidades del propio programa, o en su caso de conformidad con la participación que se logre de los benefeciarios.</t>
  </si>
  <si>
    <t>Estudios y proyectos</t>
  </si>
  <si>
    <t>H. AYUNTAMIENTO 2015-2018
PRESIDENCIA MUNICIPAL DE GUANAJUATO</t>
  </si>
  <si>
    <t>VERTIENTE PAVIMENTACIÓN DE CALLES Y VIALIDADES</t>
  </si>
  <si>
    <t>Edificación y Ampliación de Vivienda Urbana y Rural</t>
  </si>
  <si>
    <t>APOYO A LAS CIUDADES MEXICANAS DEL PATRIMONIO MUNDIAL (ACMPM)</t>
  </si>
  <si>
    <t>AGUA Y SANEAMIENTO</t>
  </si>
  <si>
    <t>FONDO DE APOYO A COMUNIDADES PARA RESTAURACIÓN DE MONUMENTOS Y BIENES ARTÍSTICOS DE PROPIEDAD FEDERAL (FOREMOBA)</t>
  </si>
  <si>
    <t>PROGRAMA DE APOYOS A LA CULTURA / 2017</t>
  </si>
  <si>
    <t>Municipio de Guanajuato</t>
  </si>
  <si>
    <t>Marfil</t>
  </si>
  <si>
    <t>Dirección General de Desarrollo Social y Humano</t>
  </si>
  <si>
    <t>Guanajuato</t>
  </si>
  <si>
    <t>PROGRAMA DE DESARROLLO REGIONAL TURÍSTICO SUSTENTABLEY PUEBLOS MÁGICOS (PRODERMAGICO) / 2017</t>
  </si>
  <si>
    <t>Acciones por definir</t>
  </si>
  <si>
    <t>SIMAPAG</t>
  </si>
  <si>
    <t>San José de Llanos</t>
  </si>
  <si>
    <t>Red de Alcantarillado</t>
  </si>
  <si>
    <t>Ampliación</t>
  </si>
  <si>
    <t>Directa</t>
  </si>
  <si>
    <t>Construcción</t>
  </si>
  <si>
    <t>Dirección de Desarrollo Rural</t>
  </si>
  <si>
    <t>01</t>
  </si>
  <si>
    <t>Coinversión con entidades federales y estatales</t>
  </si>
  <si>
    <t>No</t>
  </si>
  <si>
    <t>Gastos Indirectos (3.00%)</t>
  </si>
  <si>
    <t>Programa de Desarrollo Institucional Municipal y de las Demarcaciones Territoriales del Distrito Federal (2.00%)</t>
  </si>
  <si>
    <t>FEDERAL</t>
  </si>
  <si>
    <t>ESTATAL</t>
  </si>
  <si>
    <t>MUNICIPAL</t>
  </si>
  <si>
    <t>SUFICIENCIAS PRESUPUESTALES</t>
  </si>
  <si>
    <t>ZONA URBANA</t>
  </si>
  <si>
    <t>ZONA RURAL</t>
  </si>
  <si>
    <t>ZONA 
RURAL</t>
  </si>
  <si>
    <t>Núm.</t>
  </si>
  <si>
    <t>Dirección de Cultura y Educación</t>
  </si>
  <si>
    <t>PROGRAMA MUNICIPAL DE EQUIPAMIENTOS A CENTROS COMUNITARIOS /2017</t>
  </si>
  <si>
    <t>URBANIZACIÓN</t>
  </si>
  <si>
    <t>Pavimetacion</t>
  </si>
  <si>
    <t>Complementaria</t>
  </si>
  <si>
    <t>Carbonera</t>
  </si>
  <si>
    <t>SE</t>
  </si>
  <si>
    <t>04</t>
  </si>
  <si>
    <t>03</t>
  </si>
  <si>
    <t>Si
(Ageb: 0694)</t>
  </si>
  <si>
    <t>Dirección General de Desarrollo Social y Humano/ 
Dirección de Desarrollo Rural</t>
  </si>
  <si>
    <t>FONDO PARA EL DESARROLLO REGIONAL SUSTENTABLE DE ESTADOS Y MUNICIPIOS MINEROS / 2018</t>
  </si>
  <si>
    <t>PROGRAMA IMPULSO A LA INFRAESTRUCTURA PARA LA RECONSTRUCCIÓN DEL TEJIDO SOCIAL / 2018</t>
  </si>
  <si>
    <t>PROGRAMA IMPULSO AL DESARROLLO DE MI COMUNIDAD / 2018</t>
  </si>
  <si>
    <t>PROGRAMA DE APOYOS A LA CULTURA (REMANENTES EJERCICIOS ANTERIORES)/ 2018</t>
  </si>
  <si>
    <t>PROGRAMA DE APOYOS A LA CULTURA / 2018</t>
  </si>
  <si>
    <t>PROGRAMA DE CONSTRUCCIÓN, REHABILITACIÓN Y EQUIPAMIENTO DE INSTALACIONES DEPORTIVAS (CODE) / 2018</t>
  </si>
  <si>
    <t>PROGRAMA IMPULSO A LOS SERVICIOS BÁSICOS EN MI COLONIA Y MI COMUNIDAD / 2018</t>
  </si>
  <si>
    <t>FONDO DE APORTACIONES PARA LA INFRAESTRUCTURA SOCIAL MUNICIPAL / 2018</t>
  </si>
  <si>
    <t>(*) ESTUDIOS Y PROYECTOS Y SERVICIOS RELACIONADOS CON LA OBRA PUBLICA / 2018</t>
  </si>
  <si>
    <t>PROGRAMA IMPULSO AL DESARROLLO DEL HOGAR/ 2018</t>
  </si>
  <si>
    <t>VIVIENDA DIGNA / 2018</t>
  </si>
  <si>
    <t>Pavimentación de Calles Yerbabuena, Eucalipto, Paraiso y Arroyo Verde, Tramo: Av. México - calle Antonio Loma Amezquita, en el Municipio de Guanajuato,
 2da etapa</t>
  </si>
  <si>
    <t>Restauración de la Torre Campanario Gildarda, en Mineral de Mellado, Guanajuato</t>
  </si>
  <si>
    <t>5D</t>
  </si>
  <si>
    <t>FONDO PARA EL FORTALECIMIENTO DE LOS MUNICIPIOS (FORTAMUN) 2018</t>
  </si>
  <si>
    <t>FONDO DE APORTACIONES PARA LA INFRAESTRUCTURA SOCIAL MUNICIPAL (FISM) 2018</t>
  </si>
  <si>
    <t>Yerbabuena</t>
  </si>
  <si>
    <t>SL</t>
  </si>
  <si>
    <t>Construcción de sistema de naturación en talud de Plaza Allende Guanajuato, en el Municipio de Guanajuato, 1ra etapa</t>
  </si>
  <si>
    <t>Pavimentación de la calle principal de Carbonera 2da. Etapa</t>
  </si>
  <si>
    <t>VERTIENTE: VIVIENDA / OTROS</t>
  </si>
  <si>
    <t>SH</t>
  </si>
  <si>
    <t>02</t>
  </si>
  <si>
    <t>Cuarto Dormitorio</t>
  </si>
  <si>
    <t xml:space="preserve">Adquisición y Suministro de materiales para la Construcción de Cuarto Dormitorio 4 mts x 4 mts </t>
  </si>
  <si>
    <t xml:space="preserve">Puentecillas </t>
  </si>
  <si>
    <t xml:space="preserve">Yerbabuena </t>
  </si>
  <si>
    <t>VERTIENTE: VIVIENDA / TECHOS</t>
  </si>
  <si>
    <t>06</t>
  </si>
  <si>
    <t>Techo firme (No material de desecho, ni lámina de cartón)</t>
  </si>
  <si>
    <t>Dirección General de Desarrollo Social</t>
  </si>
  <si>
    <t>Ampl. R.D. Puentecillas calle privada San Antonio camino a la Presita</t>
  </si>
  <si>
    <t>Ampl.L.D. y R.D. San José de Llanos calle 8 de Mayo</t>
  </si>
  <si>
    <t>Ampl.L.D. y R.D. San José de Llanos calle 20 De Noviembre</t>
  </si>
  <si>
    <t>SG</t>
  </si>
  <si>
    <t>Puentecillas</t>
  </si>
  <si>
    <t>Santa Teresa</t>
  </si>
  <si>
    <t>C.F.E</t>
  </si>
  <si>
    <t>MODALIDADES POR TIPO DE PROYECTO</t>
  </si>
  <si>
    <t xml:space="preserve"> INCIDENCIA DEL PROYECTO</t>
  </si>
  <si>
    <t>Suministro y colocación para la construcción de techo a base de lámina de fibrocemento y material aislante de poliestireno con monten.
Colonia Encino.</t>
  </si>
  <si>
    <t>Suministro y colocación para la construcción de techo a base de lámina de fibrocemento y material aislante de poliestireno con monten.
Colonia Venada</t>
  </si>
  <si>
    <t>Suministro y colocación para la construcción de techo a base de lámina de fibrocemento y material aislante de poliestireno con monten.
Colonia Águilas, Camino al Tajo de Adjuntas.</t>
  </si>
  <si>
    <t>Si
(Ageb: 0853)</t>
  </si>
  <si>
    <t>Si
(Ageb: 0868)</t>
  </si>
  <si>
    <t>Si
(Ageb: 0444)</t>
  </si>
  <si>
    <t>Si
(Ageb: 075A)</t>
  </si>
  <si>
    <t xml:space="preserve">Muy Bajo </t>
  </si>
  <si>
    <t>Si
(Ageb: 0976)</t>
  </si>
  <si>
    <t>Si
(Ageb: 1495)</t>
  </si>
  <si>
    <t>Si
(Ageb: 0798)</t>
  </si>
  <si>
    <t>Electrificación Rural</t>
  </si>
  <si>
    <t>VIVIENDA</t>
  </si>
  <si>
    <t>PRODIMDF</t>
  </si>
  <si>
    <t>CONVENIOS FEDERALES</t>
  </si>
  <si>
    <t>CONVENIOS ESTATALES</t>
  </si>
  <si>
    <t>REMANENTES DE EJERCICIOS ANTERIORES DE RAMO XXXIII FONDO I (2013-2005) Y FISM 2017-2014</t>
  </si>
  <si>
    <t>REMANENTES DEL FONDO PARA EL FORTALECIMIENTO DE LOS MUNICIPIOS (FORTAMUN)</t>
  </si>
  <si>
    <t>APORTACIÓN BENEFICIARIOS</t>
  </si>
  <si>
    <t>(*) PROGRAMA DE MANTENIMIENTO Y BACHEO / 2018</t>
  </si>
  <si>
    <t>(*) PROGRAMA DE IMAGEN URBANA / 2018</t>
  </si>
  <si>
    <t>(*) PROGRAMA DE REHABILITACIÓN DE CAMINOS RURALES / 2018</t>
  </si>
  <si>
    <t>Imagen Urbana en diversas áreas de la ciudad</t>
  </si>
  <si>
    <t>Rehabilitación de caminos rurales</t>
  </si>
  <si>
    <t>TG</t>
  </si>
  <si>
    <t>Construcción, desazolve, conservación y mejoramiento de obras de bordería para abrevadero, en diversas comunidades del Municipio de Guanajuato, Gto.</t>
  </si>
  <si>
    <t>Dirección General de Desarrollo Económico</t>
  </si>
  <si>
    <t>Buenavista</t>
  </si>
  <si>
    <t>PROGRAMA DE ACCIONES SOCIALES 2018 
DEL MUNICIPIO DE GUANAJUATO</t>
  </si>
  <si>
    <t>PROGRAMA DE OBRA PÚBLICA 2018 
DEL MUNICIPIO DE GUANAJUATO</t>
  </si>
  <si>
    <t>Revestimiento</t>
  </si>
  <si>
    <t>Rehabilitación</t>
  </si>
  <si>
    <t>Revestimiento asfaltico para la rehabilitación de vialidades en el Municipio de Guanajuato.</t>
  </si>
  <si>
    <t>PROGRAMA DE MEJORAMIENTO DE VIVIENDA “PINTA TU ENTORNO” / 2018</t>
  </si>
  <si>
    <t>Ampliacion de la red de distribución de energia electrica Ojo de Agua de Arriba y de abajo 1a Etapa</t>
  </si>
  <si>
    <t>Ojo de Agua</t>
  </si>
  <si>
    <t>Ampliacion de la red de distribución de energia electrica Buenavista</t>
  </si>
  <si>
    <t>Alto</t>
  </si>
  <si>
    <t>NÚM. BENEFICIARIOS DIRECTOS</t>
  </si>
  <si>
    <t xml:space="preserve">La Sauceda (Santa Fe de Guadalupe) </t>
  </si>
  <si>
    <t>Readecuación de Callejón de Pardo, Las Flores y Animas, en el Municipio de Guanajuato, 2da. Etapa.</t>
  </si>
  <si>
    <t>Rehabilitación de la Plazoleta del Monumento al Pípila, en el Municipio de Guanajuato, 1era Etapa.</t>
  </si>
  <si>
    <t>Rehabilitación de muros del Panteón de Santa Paula en Guanajuato, Gto, 1era Etapa.</t>
  </si>
  <si>
    <t>Rehabilitación de la red de alcantarillado sanitario en la zona de Presa de los Santos.</t>
  </si>
  <si>
    <t>Ampliación de colector Arroyo Verde (conexión a colector del Arco)</t>
  </si>
  <si>
    <t>EDUCACIÓN</t>
  </si>
  <si>
    <t>SJ</t>
  </si>
  <si>
    <t>Construcción de techado de cancha de usos múltiples en la Escuela Primaria Vicente Guerrero</t>
  </si>
  <si>
    <t>Techado en áreas de impartición de educación física</t>
  </si>
  <si>
    <t>Complementario</t>
  </si>
  <si>
    <t>Rehabilitación de la línea de conducción de agua potable de cárcamo Yerbabuena a Tanque 3 Estrellas</t>
  </si>
  <si>
    <t>Rehabilitación del colector sanitario río Guanajuato (Tramo comunidad Paso de Perules a PTAR Estanislao Zarate Lujano, (Segunda Etapa)</t>
  </si>
  <si>
    <t>Paso de Perules</t>
  </si>
  <si>
    <t>Drenaje Sanitario</t>
  </si>
  <si>
    <t>Construcción de plaza pública en Col. Las Teresas a un costado del Centro Cultural Mariel, en el Municipio de Guanajuato, 1ra etapa</t>
  </si>
  <si>
    <t>Ampliación de colector sanitario deportiva Yerbabuena (Interconexión colector del Pulque)</t>
  </si>
  <si>
    <t xml:space="preserve">Ampliacion de la R.D. Puentecillas calle la Pelotera </t>
  </si>
  <si>
    <t>Ampliacion R.D. La Sauceda Virrey Don Luis de Velasco y San Juan</t>
  </si>
  <si>
    <t>Ampliacion R. D. Bajada de los Charcos</t>
  </si>
  <si>
    <t>Construcción de techado de cancha deportiva en el Bachillerato SABES Santa Teresa, Guanajuato.</t>
  </si>
  <si>
    <t>Construcción de colector pluvial, calle Yerbabuena a Arroyo del Arco</t>
  </si>
  <si>
    <t>2018/001</t>
  </si>
  <si>
    <t>2018/002</t>
  </si>
  <si>
    <t>2018/003</t>
  </si>
  <si>
    <t>2018/004</t>
  </si>
  <si>
    <t>2018/005</t>
  </si>
  <si>
    <t>2018/006</t>
  </si>
  <si>
    <t>2018/007</t>
  </si>
  <si>
    <t>2018/008</t>
  </si>
  <si>
    <t>2018/009</t>
  </si>
  <si>
    <t>2018/010</t>
  </si>
  <si>
    <t>2018/011</t>
  </si>
  <si>
    <t>2018/012</t>
  </si>
  <si>
    <t>2018/013</t>
  </si>
  <si>
    <t xml:space="preserve">Bajo </t>
  </si>
  <si>
    <t>Red o sistema de agua potable</t>
  </si>
  <si>
    <t>Drenaje Pluvial</t>
  </si>
  <si>
    <t>SD</t>
  </si>
  <si>
    <t>SC</t>
  </si>
  <si>
    <t>UB</t>
  </si>
  <si>
    <t>ESTATUS PROYECTO</t>
  </si>
  <si>
    <t>SIN DEFINIR</t>
  </si>
  <si>
    <t>EN PROCESO</t>
  </si>
  <si>
    <t>CFE</t>
  </si>
  <si>
    <t>SIN INICIAR</t>
  </si>
  <si>
    <t>PROY TERMINADO, EN VALIDACIÓN DEL INAH</t>
  </si>
  <si>
    <t>UE</t>
  </si>
  <si>
    <t>Programa Comunidad Diferente: Red Móvíl, Mejoramiento de Vivienda</t>
  </si>
  <si>
    <t>Programa Mi Hogar con Valores y Autoconstrucción</t>
  </si>
  <si>
    <t>NÚM. ACCIONES</t>
  </si>
  <si>
    <t>PAGO DE AFECTACIONES PARA CARRETERAS/ 2018</t>
  </si>
  <si>
    <t>AF</t>
  </si>
  <si>
    <t>Pago de afectaciones para la obra: Construcción del enlace vial entronque acceso a Cervera conexión a la carretera libre Guanajuato - Silao.</t>
  </si>
  <si>
    <t>Rehabilitación de camino rural tramo: Santa Rosa de Lima - Picones.
(Primera etapa)</t>
  </si>
  <si>
    <t>PROGRAMA IMPULSO A LOS ESPACIOS PARA LA SANA CONVIVENCIA EN MI COLONIA (PIESCC) / 2018</t>
  </si>
  <si>
    <t>PROYECTOS DE DESARROLLO REGIONAL / 2018</t>
  </si>
  <si>
    <t>PROYECTOS DE INFRAESTRUCTURA ECONÓMICA</t>
  </si>
  <si>
    <t>1%para SHCP</t>
  </si>
  <si>
    <t>1 al millar ASF</t>
  </si>
  <si>
    <t>Rehabilitación de infraestructura hidráulica y de aulas en la Escuela Normal Superior Oficial de Guanajuato, Guanajuato.</t>
  </si>
  <si>
    <t>FUENTE DE FINANCIAMIENTO</t>
  </si>
  <si>
    <t>M/ FISMDF</t>
  </si>
  <si>
    <t>M/ GASTO CORRIENTE 2018</t>
  </si>
  <si>
    <t xml:space="preserve">M/ GASTO CORRIENTE 2018 - BENEFICIARIOS - E/ SDAyR </t>
  </si>
  <si>
    <t>Construcción de techumbre de cancha de usos múltiples en Masaguas</t>
  </si>
  <si>
    <t xml:space="preserve">Iluminación de la Plaza de las Ranas al área de los Pastitos (sección oriente) y remodelación de fuente en Plaza de las Ranas, en el Municipio de Guanajuato. </t>
  </si>
  <si>
    <t>OBRA PÚBLICA DIRECTA/ 2018</t>
  </si>
  <si>
    <t>EG</t>
  </si>
  <si>
    <t>Dirección General de Turismo</t>
  </si>
  <si>
    <t>EXPEDIENTE RECIBIDO POR PARTE DE D.R</t>
  </si>
  <si>
    <t>EXPEDIENTE RECIBIDO POR PARTE DE D.S</t>
  </si>
  <si>
    <t>EN PROCESO LEVANTAMIENTO Y MECANICA DE SUELO</t>
  </si>
  <si>
    <t>EN AJUSTE DE METAS PARA ENVIO DE EXPEDIENTE</t>
  </si>
  <si>
    <t>PROY TERMINADO, ARMANDO EXPEDIENTE</t>
  </si>
  <si>
    <t>EN AJUSTE DE METAS Y PRESUPUESTO</t>
  </si>
  <si>
    <t>PROGRAMAS REGIONALES / 2018</t>
  </si>
  <si>
    <t>Pavimentación de Calle Plan de Ayala, en la Col. Peñitas, en el Municipio de Guanajuato, 1era etapa.</t>
  </si>
  <si>
    <t>Pavimentación de calles aledañas al Centro de Estudios de Bachillerato (CEB) 86, en el municipio de Guanajuato.</t>
  </si>
  <si>
    <t>?</t>
  </si>
  <si>
    <t>FECHA DE INICIO (EXPEDIENTE)</t>
  </si>
  <si>
    <t>RESPONSABLE DEL PROYECTO</t>
  </si>
  <si>
    <t>BORJA</t>
  </si>
  <si>
    <t>PROYECTO TERMINADO</t>
  </si>
  <si>
    <t>FECHA DE TERMINO 
(PARA CONTRATAR)</t>
  </si>
  <si>
    <t>DANIEL</t>
  </si>
  <si>
    <t>BORJA-RICARDO</t>
  </si>
  <si>
    <t>DANIEL-LIZ</t>
  </si>
  <si>
    <t>MALE-ANGE</t>
  </si>
  <si>
    <t>DANIEL-SILVIA-LIZ
(Esta semana se tendrán que mandar a México)</t>
  </si>
  <si>
    <t>EN ESPERA DE PROYECTO EJECUTIVO</t>
  </si>
  <si>
    <t>PROY TERMINADO, se ingresó a Sitios y Monumentos</t>
  </si>
  <si>
    <t>BORJA-JORGE</t>
  </si>
  <si>
    <t>PROYECTO TIPO</t>
  </si>
  <si>
    <t>Construcción de la red de alcantarillado sanitario en la comunidad de San José de Llanos (cuarta etapa).</t>
  </si>
  <si>
    <t>Adecuaciones al edificio de la Ex estación del Ferrocarril para la Casa del Turismo.</t>
  </si>
  <si>
    <t xml:space="preserve">Construcción de Cuarto Dormitorio de 4mts x 4mts y altura mínima de 2.85 mts. </t>
  </si>
  <si>
    <t>SI
(Ageb: 0980)</t>
  </si>
  <si>
    <t>POR DEFINIR 
(YA EXISTE SOLICITUD EN SOP)</t>
  </si>
  <si>
    <t xml:space="preserve">SE </t>
  </si>
  <si>
    <t>Construcción de cancha de bochas en la Unidad deportiva Juan José Torres Landa</t>
  </si>
  <si>
    <t>Alumbrado de cancha de usos múltiples de prácticas, juegos infantiles y gimnasio al aire libre en el Fraccionamiento Ex Hacienda de Santa Teresa, en el Municipio de Guanajuato</t>
  </si>
  <si>
    <t>Electrificación en colonia 16 de septiembre, Parcela 88</t>
  </si>
  <si>
    <t>PROGRAMA DE RESTAURACIÓN DE TEMPLOS / 2018</t>
  </si>
  <si>
    <t>(*) PROGRAMA DE OBRAS POR COOPERACIÓN / 2018</t>
  </si>
  <si>
    <t>Obras por cooperación</t>
  </si>
  <si>
    <t>PROGRAMA ESTATAL DE BORDERÍA / 2018</t>
  </si>
  <si>
    <t>GASTOS INDIRECTOS</t>
  </si>
  <si>
    <t>PROGRAMA REHABILITACIÓN DE CAMINOS RURALES Y CAMINOS SACA COSECHAS PARA EL DESARROLLO AGROPECUARIO Y FORESTAL / 2018</t>
  </si>
  <si>
    <t>San José de Cervera</t>
  </si>
  <si>
    <t>2018/015</t>
  </si>
  <si>
    <t>2018/016</t>
  </si>
  <si>
    <t>2018/017</t>
  </si>
  <si>
    <t>2018/018</t>
  </si>
  <si>
    <t>2018/019</t>
  </si>
  <si>
    <t>2018/020</t>
  </si>
  <si>
    <t>2018/021</t>
  </si>
  <si>
    <t>2018/022</t>
  </si>
  <si>
    <t>2018/023</t>
  </si>
  <si>
    <t>2018/024</t>
  </si>
  <si>
    <t>2018/025</t>
  </si>
  <si>
    <t>2018/026</t>
  </si>
  <si>
    <t>2018/027</t>
  </si>
  <si>
    <t>2018/028</t>
  </si>
  <si>
    <t>2018/029</t>
  </si>
  <si>
    <t>2018/030</t>
  </si>
  <si>
    <t>2018/031</t>
  </si>
  <si>
    <t>2018/032</t>
  </si>
  <si>
    <t>2018/033</t>
  </si>
  <si>
    <t>2018/034</t>
  </si>
  <si>
    <t>2018/035</t>
  </si>
  <si>
    <t>2018/036</t>
  </si>
  <si>
    <t>2018/037</t>
  </si>
  <si>
    <t>2018/038</t>
  </si>
  <si>
    <t>2018/039</t>
  </si>
  <si>
    <t>2018/040</t>
  </si>
  <si>
    <t>2018/041</t>
  </si>
  <si>
    <t>2018/042</t>
  </si>
  <si>
    <t>2018/043</t>
  </si>
  <si>
    <t>2018/044</t>
  </si>
  <si>
    <t>2018/045</t>
  </si>
  <si>
    <t>2018/046</t>
  </si>
  <si>
    <t>2018/047</t>
  </si>
  <si>
    <t>2018/048</t>
  </si>
  <si>
    <t>2018/049</t>
  </si>
  <si>
    <t>2018/050</t>
  </si>
  <si>
    <t>2018/051</t>
  </si>
  <si>
    <t>2018/052</t>
  </si>
  <si>
    <t>2018/053</t>
  </si>
  <si>
    <t>2018/054</t>
  </si>
  <si>
    <t>2018/055</t>
  </si>
  <si>
    <t>2018/056</t>
  </si>
  <si>
    <t>2018/057</t>
  </si>
  <si>
    <t>SUFICIENCIA PRESUPUESTAL/ 2018</t>
  </si>
  <si>
    <t>2017/021</t>
  </si>
  <si>
    <t>2017/190</t>
  </si>
  <si>
    <t>Línea de conducción</t>
  </si>
  <si>
    <t>Calentadores Solares</t>
  </si>
  <si>
    <t>Interconexión de tanque elevado a red de distribución, Incluye automatización en la comunidad de Puentecillas en el municipio de Guanajuato.</t>
  </si>
  <si>
    <t xml:space="preserve">Suministro y colocación para la construcción de calentador solar de agua de 12 tubos (5 personas) y 150 litros de capacidad, con tanque de acero inoxidable interno.  </t>
  </si>
  <si>
    <t>Guanajuato y Marfil</t>
  </si>
  <si>
    <t>RECURSO MUNICIPAL 2018</t>
  </si>
  <si>
    <t>REMANENTES DE EJERCICIOS ANTERIORES DE RECURSO MUNICIPAL</t>
  </si>
  <si>
    <t>M/ REMANENTES FORTAMUN 2012- E/SEDESHU</t>
  </si>
  <si>
    <t>2018/058</t>
  </si>
  <si>
    <t>2018/059</t>
  </si>
  <si>
    <t>2018/060</t>
  </si>
  <si>
    <t>2018/061</t>
  </si>
  <si>
    <t>2018/062</t>
  </si>
  <si>
    <t>2018/063</t>
  </si>
  <si>
    <t>2018/064</t>
  </si>
  <si>
    <t>Pavimentación de Calle Viznaga, Tramo: Calle Yerbabuena a Carr. Guanajuato - Juventno Rosas, en el Municipio de Guanajuato.</t>
  </si>
  <si>
    <t>DISMINUCIÓN</t>
  </si>
  <si>
    <t>AMPLIACIÓN</t>
  </si>
  <si>
    <t>CREACIÓN</t>
  </si>
  <si>
    <t>ASIGNACION AUTORIZADA MODIFICADA</t>
  </si>
  <si>
    <t>Pavimentación de Calle Plan de Ayala, en la Col. Peñitas, en la localidad de Marfil del Municipio de Guanajuato, Gto; 1era etapa.</t>
  </si>
  <si>
    <t>2018/015-A</t>
  </si>
  <si>
    <t>2018/016-A</t>
  </si>
  <si>
    <t>Pavimentación de calle S/N aledaña al Centro de Estudios de Bachillerato (CEB) 8/6 tramo: Comandancia Sur - CEB 8/6  en el Municipio de Guanajuato.</t>
  </si>
  <si>
    <t>2018/022-A</t>
  </si>
  <si>
    <t>2018/023-A</t>
  </si>
  <si>
    <t>2018/001-A</t>
  </si>
  <si>
    <t>2018/002-A</t>
  </si>
  <si>
    <t>2018/003-A</t>
  </si>
  <si>
    <t>2018/004-A</t>
  </si>
  <si>
    <t>2018/005-A</t>
  </si>
  <si>
    <t>2018/024-A</t>
  </si>
  <si>
    <t>Ampliación de Red de Distribución de Energía Eléctrica Calle la Pelotera</t>
  </si>
  <si>
    <t>Ampliación de Red de Distribución de Energía Eléctrica Calle Privada San Antonio Camino a la Presita</t>
  </si>
  <si>
    <t xml:space="preserve">Ampliacion de Red de Distribuccion de Energía Electrica Calle Virrey Don Luis de Velasco y San Juan </t>
  </si>
  <si>
    <t>La Sauceda (Santa Fe de Guadalupe)</t>
  </si>
  <si>
    <t>Ampliación de Línea y Red de Distribución de Energía Eléctrica Calle 20 De Noviembre</t>
  </si>
  <si>
    <t>Ampliación de Red de Distribución de Energía Eléctrica Calle Bajada de los Charcos</t>
  </si>
  <si>
    <t>Yerbabauena</t>
  </si>
  <si>
    <t>Ampliación de Línea y Red de Distribución de Energía Eléctrica Calle 8 de Mayo</t>
  </si>
  <si>
    <t>2018/065</t>
  </si>
  <si>
    <t>Ampliación de Red de Distribución de Energía Eléctrica Calle Privada los Morales</t>
  </si>
  <si>
    <t>2018/006-A</t>
  </si>
  <si>
    <t>2018/007-A</t>
  </si>
  <si>
    <t>2018/008-A</t>
  </si>
  <si>
    <t>Construcción de Cuarto Dormitorio 4 mts x 4 mts, a base de muro de tabique y techo de vigueta y bovedilla</t>
  </si>
  <si>
    <t>2018/009-A</t>
  </si>
  <si>
    <t>2018/010-A</t>
  </si>
  <si>
    <t>2018/011-A</t>
  </si>
  <si>
    <t>2018/012-A</t>
  </si>
  <si>
    <t>Construcción de techo firme a base de lámina de fibrocemento y material aislante de poliestireno con monten.
Col. El Encino.</t>
  </si>
  <si>
    <t>Construcción de techo firme a base de lámina de fibrocemento y material aislante de poliestireno con monten.
Col. La Venada</t>
  </si>
  <si>
    <t>Construcción de techo firme a base de lámina de fibrocemento y material aislante de poliestireno con monten.
Col. Águilas, Camino al Tajo de Adjuntas.</t>
  </si>
  <si>
    <t>2018/066</t>
  </si>
  <si>
    <t>2018/067</t>
  </si>
  <si>
    <t>2018/068</t>
  </si>
  <si>
    <t>2018/069</t>
  </si>
  <si>
    <t>2018/070</t>
  </si>
  <si>
    <t>2018/071</t>
  </si>
  <si>
    <t>Capilla de San Miguel Arcángel 
(La Sauceda)</t>
  </si>
  <si>
    <t>La Sauceda</t>
  </si>
  <si>
    <t>Santuario del Señor de Villaseca
(Cata)</t>
  </si>
  <si>
    <t>Templo del Sagrado Corazón 
(Santa Rosa)</t>
  </si>
  <si>
    <t>Santa Rosa</t>
  </si>
  <si>
    <t>Restauración de Pinturas y Esculturas de la Parroquia de Santa Rosa de Abajo</t>
  </si>
  <si>
    <t>Santa Rosa de Abajo</t>
  </si>
  <si>
    <t>Parroquia de Nuestra Señora de la Luz
(La Luz)</t>
  </si>
  <si>
    <t>La Luz</t>
  </si>
  <si>
    <t>Recurso pendiente de asignar</t>
  </si>
  <si>
    <t>Guanajuato Patrimonio de la Humanidad A.C.</t>
  </si>
  <si>
    <t>2018/072</t>
  </si>
  <si>
    <t>2018/073</t>
  </si>
  <si>
    <t>2018/074</t>
  </si>
  <si>
    <t>2018/075</t>
  </si>
  <si>
    <t>2018/076</t>
  </si>
  <si>
    <t>Cuarto para Dormitorio</t>
  </si>
  <si>
    <t>Construcción de 10 cuartos para dormitorio</t>
  </si>
  <si>
    <t>Construcción de 12 cuartos para dormitorio</t>
  </si>
  <si>
    <t>Construcción de 17 cuartos para dormitorio</t>
  </si>
  <si>
    <t>Construcción de 3 cuartos para dormitorio
(Pueblito de Rocha)</t>
  </si>
  <si>
    <t>Construcción de 2 cuartos para dormitorio
(Encino)</t>
  </si>
  <si>
    <t>2018/038-A</t>
  </si>
  <si>
    <t>2018/040-A</t>
  </si>
  <si>
    <t>2018/041-A</t>
  </si>
  <si>
    <t>2018/028-A</t>
  </si>
  <si>
    <t>Alumbrado de cancha de usos múltiples de prácticas, en el Fraccionamiento Ex Hacienda de Santa Teresa</t>
  </si>
  <si>
    <t>2018/029-A</t>
  </si>
  <si>
    <t>Construcción de techumbre para cancha de usos múltiples de prácticas, en Masaguas.</t>
  </si>
  <si>
    <t>2018/077</t>
  </si>
  <si>
    <t>Modernización de Instalación Eléctrica y alumbrado en la Unidad Deportiva Juan José Torres Landa, 1era etapa.</t>
  </si>
  <si>
    <t>PROGRAMA MUNICIPAL DE APOYO A LA VIVIENDA / 2018</t>
  </si>
  <si>
    <t>2</t>
  </si>
  <si>
    <t>Secretaría de Innovación, Ciencia y Educación Superior</t>
  </si>
  <si>
    <t>2018/064-A</t>
  </si>
  <si>
    <t>Pavimentación de Calle Viznaga, Tramo: Calle Yerbabuena a Carr. Guanajuato - Juventno Rosas, en el Municipio de Guanajuato. 1era Etapa.</t>
  </si>
  <si>
    <t>Ampliación de linea y red de distribucion de energia eléctrica Buenavista</t>
  </si>
  <si>
    <t>Ampliación de linea de distribución de energía eléctrica Ojo de Agua de Arriba y de abajo 1a Etapa</t>
  </si>
  <si>
    <t>2018/078</t>
  </si>
  <si>
    <t>2018/079</t>
  </si>
  <si>
    <t>2018/080</t>
  </si>
  <si>
    <t>Restauración del Templo de San Sebastián, Guanajuato</t>
  </si>
  <si>
    <t>Restauración de Capilla de San José, 
Guanajuato</t>
  </si>
  <si>
    <t>Restauración del Templo de Los Hospitales (Nuestra Señora de la Concepción), Guanajuato</t>
  </si>
  <si>
    <t>2018/081</t>
  </si>
  <si>
    <t>Pavimentación de Calle Plan de Ayala, en la Col. Peñitas, en la localidad de Marfil del Municipio de Guanajuato. 2da etapa.</t>
  </si>
  <si>
    <t>2018/082</t>
  </si>
  <si>
    <t>2018/083</t>
  </si>
  <si>
    <t>Ampliación de Línea de agua potable en la Comunidad San José de Llanos, 4ta etapa.</t>
  </si>
  <si>
    <t>Rehabilitación de colector sanitario río guanajuato en zona de Ex Hacienda de Panuco (segunda etapa).</t>
  </si>
  <si>
    <t>2018/084</t>
  </si>
  <si>
    <t>2018/085</t>
  </si>
  <si>
    <t>07</t>
  </si>
  <si>
    <t>Preescolar (Sanitarios)</t>
  </si>
  <si>
    <t>Construcción de techado de patio cívico en la Escuela Primaria Emiliano Zapata, Puerto de Santa Rosa, Guanajuato.</t>
  </si>
  <si>
    <t>Puerto de Santa Rosa</t>
  </si>
  <si>
    <t>Mejoramiento de modulo sanitario del Preescolar "Jaime Torres Bodet", en el Municipio de Guanajuato.</t>
  </si>
  <si>
    <t>2018/086</t>
  </si>
  <si>
    <t>2018/087</t>
  </si>
  <si>
    <t>Mejoramiento</t>
  </si>
  <si>
    <t>Mejoramiento de línea existente de media tensión, ubicada en el camino Tejaban al Chapín.</t>
  </si>
  <si>
    <t>San Nicolas del Chapín</t>
  </si>
  <si>
    <t>Construcción de calentador solar de agua de 12 tubos y 150 litros de capacidad, con tanque de acero inoxidable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</si>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</sst>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80A]d&quot; de &quot;mmmm&quot; de &quot;yyyy;@"/>
    <numFmt numFmtId="168" formatCode="_-[$€-2]* #,##0.00_-;\-[$€-2]* #,##0.00_-;_-[$€-2]* &quot;-&quot;??_-"/>
    <numFmt numFmtId="170" formatCode="#,##0.0"/>
  </numFmts>
  <fonts count="6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sz val="1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sz val="26"/>
      <name val="Arial"/>
      <family val="2"/>
    </font>
    <font>
      <sz val="34"/>
      <color rgb="FFFF0000"/>
      <name val="Arial"/>
      <family val="2"/>
    </font>
    <font>
      <sz val="34"/>
      <color rgb="FF0070C0"/>
      <name val="Arial"/>
      <family val="2"/>
    </font>
    <font>
      <sz val="26"/>
      <color rgb="FF0070C0"/>
      <name val="Arial"/>
      <family val="2"/>
    </font>
    <font>
      <b/>
      <sz val="28"/>
      <color rgb="FF7030A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24"/>
      <color indexed="12"/>
      <name val="Arial"/>
      <family val="2"/>
    </font>
    <font>
      <b/>
      <sz val="18"/>
      <color indexed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color rgb="FF00B050"/>
      <name val="Arial"/>
      <family val="2"/>
    </font>
    <font>
      <b/>
      <sz val="18"/>
      <color rgb="FF0070C0"/>
      <name val="Arial"/>
      <family val="2"/>
    </font>
    <font>
      <sz val="18"/>
      <name val="Arial"/>
      <family val="2"/>
    </font>
    <font>
      <sz val="38"/>
      <color indexed="12"/>
      <name val="Arial"/>
      <family val="2"/>
    </font>
    <font>
      <b/>
      <sz val="32"/>
      <name val="Arial"/>
      <family val="2"/>
    </font>
    <font>
      <sz val="34"/>
      <name val="Arial Narrow"/>
      <family val="2"/>
    </font>
    <font>
      <sz val="34"/>
      <color theme="0"/>
      <name val="Arial"/>
      <family val="2"/>
    </font>
    <font>
      <sz val="38"/>
      <color rgb="FFC00000"/>
      <name val="Arial"/>
      <family val="2"/>
    </font>
    <font>
      <sz val="34"/>
      <color indexed="12"/>
      <name val="Arial"/>
      <family val="2"/>
    </font>
    <font>
      <sz val="26"/>
      <color indexed="12"/>
      <name val="Arial"/>
      <family val="2"/>
    </font>
    <font>
      <sz val="38"/>
      <name val="Arial"/>
      <family val="2"/>
    </font>
    <font>
      <sz val="38"/>
      <color theme="5" tint="-0.249977111117893"/>
      <name val="Arial"/>
      <family val="2"/>
    </font>
    <font>
      <sz val="15"/>
      <name val="Arial"/>
      <family val="2"/>
    </font>
    <font>
      <sz val="28"/>
      <color rgb="FF7030A0"/>
      <name val="Arial"/>
      <family val="2"/>
    </font>
    <font>
      <sz val="36"/>
      <name val="Arial"/>
      <family val="2"/>
    </font>
    <font>
      <b/>
      <sz val="72"/>
      <name val="Arial"/>
      <family val="2"/>
    </font>
    <font>
      <b/>
      <sz val="72"/>
      <color indexed="16"/>
      <name val="Arial"/>
      <family val="2"/>
    </font>
    <font>
      <sz val="36"/>
      <color rgb="FFFF0000"/>
      <name val="Arial"/>
      <family val="2"/>
    </font>
    <font>
      <b/>
      <sz val="28"/>
      <color rgb="FFFF0000"/>
      <name val="Arial"/>
      <family val="2"/>
    </font>
    <font>
      <b/>
      <sz val="40"/>
      <color theme="0"/>
      <name val="Arial"/>
      <family val="2"/>
    </font>
    <font>
      <sz val="30"/>
      <color rgb="FFFF0000"/>
      <name val="Arial"/>
      <family val="2"/>
    </font>
    <font>
      <sz val="28"/>
      <color theme="0"/>
      <name val="Arial"/>
      <family val="2"/>
    </font>
    <font>
      <sz val="26"/>
      <color theme="0"/>
      <name val="Arial"/>
      <family val="2"/>
    </font>
    <font>
      <sz val="36"/>
      <color theme="0"/>
      <name val="Arial Narrow"/>
      <family val="2"/>
    </font>
    <font>
      <sz val="36"/>
      <name val="Arial Narrow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36"/>
      <color rgb="FF7030A0"/>
      <name val="Arial"/>
      <family val="2"/>
    </font>
    <font>
      <sz val="34"/>
      <color rgb="FFC00000"/>
      <name val="Arial"/>
      <family val="2"/>
    </font>
    <font>
      <b/>
      <sz val="36"/>
      <color rgb="FF0070C0"/>
      <name val="Arial"/>
      <family val="2"/>
    </font>
    <font>
      <sz val="34"/>
      <color theme="0"/>
      <name val="Arial Narrow"/>
      <family val="2"/>
    </font>
    <font>
      <sz val="36"/>
      <color indexed="12"/>
      <name val="Arial"/>
      <family val="2"/>
    </font>
    <font>
      <sz val="36"/>
      <color theme="0"/>
      <name val="Arial"/>
      <family val="2"/>
    </font>
    <font>
      <sz val="34"/>
      <color rgb="FF7030A0"/>
      <name val="Arial"/>
      <family val="2"/>
    </font>
    <font>
      <sz val="36"/>
      <color rgb="FF0070C0"/>
      <name val="Arial"/>
      <family val="2"/>
    </font>
    <font>
      <sz val="8"/>
      <name val="Calibri"/>
      <family val="2"/>
      <scheme val="minor"/>
    </font>
    <font>
      <sz val="2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0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89">
    <xf numFmtId="0" fontId="0" fillId="0" borderId="0" xfId="0"/>
    <xf numFmtId="0" fontId="11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4" fontId="12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/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4" fontId="13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4" fontId="13" fillId="2" borderId="0" xfId="0" applyNumberFormat="1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7" fillId="0" borderId="0" xfId="0" applyFont="1" applyFill="1" applyBorder="1"/>
    <xf numFmtId="164" fontId="19" fillId="0" borderId="0" xfId="2" applyFont="1" applyBorder="1" applyAlignment="1">
      <alignment horizontal="justify" vertical="center" wrapText="1"/>
    </xf>
    <xf numFmtId="164" fontId="19" fillId="0" borderId="0" xfId="2" applyFont="1" applyFill="1" applyBorder="1" applyAlignment="1">
      <alignment horizontal="center" vertical="center"/>
    </xf>
    <xf numFmtId="164" fontId="19" fillId="0" borderId="0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4" fontId="21" fillId="2" borderId="0" xfId="0" applyNumberFormat="1" applyFont="1" applyFill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left" vertical="center"/>
    </xf>
    <xf numFmtId="4" fontId="24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25" fillId="0" borderId="0" xfId="3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27" fillId="0" borderId="0" xfId="0" applyFont="1" applyFill="1" applyBorder="1"/>
    <xf numFmtId="0" fontId="28" fillId="0" borderId="0" xfId="0" applyFont="1" applyFill="1" applyBorder="1"/>
    <xf numFmtId="4" fontId="13" fillId="0" borderId="0" xfId="0" applyNumberFormat="1" applyFont="1" applyFill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" fontId="21" fillId="2" borderId="0" xfId="0" applyNumberFormat="1" applyFont="1" applyFill="1" applyAlignment="1">
      <alignment horizontal="center" vertical="center" wrapText="1"/>
    </xf>
    <xf numFmtId="0" fontId="21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left" vertical="center" wrapText="1"/>
    </xf>
    <xf numFmtId="0" fontId="13" fillId="0" borderId="15" xfId="3" applyFont="1" applyFill="1" applyBorder="1" applyAlignment="1">
      <alignment horizontal="center" vertical="center" wrapText="1"/>
    </xf>
    <xf numFmtId="49" fontId="13" fillId="0" borderId="15" xfId="3" applyNumberFormat="1" applyFont="1" applyFill="1" applyBorder="1" applyAlignment="1">
      <alignment horizontal="center" vertical="center" wrapText="1"/>
    </xf>
    <xf numFmtId="4" fontId="13" fillId="0" borderId="15" xfId="1" applyNumberFormat="1" applyFont="1" applyFill="1" applyBorder="1" applyAlignment="1">
      <alignment horizontal="center" vertical="center" wrapText="1"/>
    </xf>
    <xf numFmtId="164" fontId="13" fillId="0" borderId="15" xfId="2" applyFont="1" applyFill="1" applyBorder="1" applyAlignment="1">
      <alignment horizontal="center" vertic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wrapText="1"/>
    </xf>
    <xf numFmtId="0" fontId="21" fillId="2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3" fillId="0" borderId="0" xfId="0" applyFont="1" applyFill="1" applyAlignment="1">
      <alignment horizontal="left" vertical="center"/>
    </xf>
    <xf numFmtId="4" fontId="31" fillId="4" borderId="15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64" fontId="13" fillId="5" borderId="15" xfId="2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164" fontId="34" fillId="0" borderId="0" xfId="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164" fontId="32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vertical="center"/>
    </xf>
    <xf numFmtId="4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4" fontId="29" fillId="0" borderId="0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164" fontId="29" fillId="0" borderId="0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164" fontId="13" fillId="5" borderId="14" xfId="2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164" fontId="39" fillId="0" borderId="0" xfId="2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164" fontId="40" fillId="0" borderId="0" xfId="0" applyNumberFormat="1" applyFont="1" applyFill="1" applyBorder="1" applyAlignment="1">
      <alignment horizontal="center" vertical="center"/>
    </xf>
    <xf numFmtId="170" fontId="40" fillId="0" borderId="0" xfId="0" applyNumberFormat="1" applyFont="1" applyFill="1" applyBorder="1" applyAlignment="1">
      <alignment horizontal="center" vertical="center"/>
    </xf>
    <xf numFmtId="164" fontId="40" fillId="0" borderId="0" xfId="0" applyNumberFormat="1" applyFont="1" applyFill="1" applyBorder="1"/>
    <xf numFmtId="0" fontId="38" fillId="2" borderId="4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170" fontId="43" fillId="0" borderId="0" xfId="0" applyNumberFormat="1" applyFont="1" applyFill="1" applyBorder="1" applyAlignment="1">
      <alignment horizontal="center" vertical="center"/>
    </xf>
    <xf numFmtId="164" fontId="45" fillId="0" borderId="0" xfId="2" applyFont="1" applyBorder="1" applyAlignment="1">
      <alignment horizontal="justify" vertical="center" wrapText="1"/>
    </xf>
    <xf numFmtId="164" fontId="46" fillId="0" borderId="0" xfId="2" applyFont="1" applyFill="1" applyBorder="1"/>
    <xf numFmtId="164" fontId="47" fillId="0" borderId="0" xfId="2" applyFont="1" applyFill="1" applyBorder="1" applyAlignment="1">
      <alignment vertical="center"/>
    </xf>
    <xf numFmtId="4" fontId="13" fillId="3" borderId="15" xfId="0" applyNumberFormat="1" applyFont="1" applyFill="1" applyBorder="1" applyAlignment="1">
      <alignment horizontal="center" vertical="center"/>
    </xf>
    <xf numFmtId="4" fontId="31" fillId="3" borderId="15" xfId="0" applyNumberFormat="1" applyFont="1" applyFill="1" applyBorder="1" applyAlignment="1">
      <alignment horizontal="center" vertical="center" wrapText="1"/>
    </xf>
    <xf numFmtId="0" fontId="49" fillId="6" borderId="11" xfId="0" applyFont="1" applyFill="1" applyBorder="1" applyAlignment="1">
      <alignment vertical="center" wrapText="1"/>
    </xf>
    <xf numFmtId="0" fontId="50" fillId="0" borderId="0" xfId="0" applyFont="1" applyFill="1" applyBorder="1" applyAlignment="1">
      <alignment vertical="center"/>
    </xf>
    <xf numFmtId="164" fontId="40" fillId="0" borderId="0" xfId="2" applyFont="1" applyFill="1" applyBorder="1"/>
    <xf numFmtId="3" fontId="12" fillId="0" borderId="0" xfId="0" applyNumberFormat="1" applyFont="1" applyFill="1" applyAlignment="1">
      <alignment horizontal="center" wrapText="1"/>
    </xf>
    <xf numFmtId="3" fontId="29" fillId="0" borderId="0" xfId="0" applyNumberFormat="1" applyFont="1" applyFill="1" applyBorder="1" applyAlignment="1">
      <alignment horizontal="left" vertical="center"/>
    </xf>
    <xf numFmtId="3" fontId="36" fillId="0" borderId="0" xfId="0" applyNumberFormat="1" applyFont="1" applyFill="1" applyBorder="1" applyAlignment="1">
      <alignment horizontal="left" vertical="center"/>
    </xf>
    <xf numFmtId="3" fontId="13" fillId="0" borderId="15" xfId="3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center" wrapText="1"/>
    </xf>
    <xf numFmtId="3" fontId="34" fillId="0" borderId="0" xfId="0" applyNumberFormat="1" applyFont="1" applyFill="1" applyBorder="1" applyAlignment="1">
      <alignment horizontal="left" vertical="center"/>
    </xf>
    <xf numFmtId="3" fontId="13" fillId="0" borderId="15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horizontal="center" wrapText="1"/>
    </xf>
    <xf numFmtId="3" fontId="13" fillId="0" borderId="0" xfId="0" applyNumberFormat="1" applyFont="1" applyAlignment="1">
      <alignment vertical="top"/>
    </xf>
    <xf numFmtId="3" fontId="21" fillId="2" borderId="0" xfId="0" applyNumberFormat="1" applyFont="1" applyFill="1" applyAlignment="1">
      <alignment horizontal="center" wrapText="1"/>
    </xf>
    <xf numFmtId="3" fontId="10" fillId="2" borderId="0" xfId="0" applyNumberFormat="1" applyFont="1" applyFill="1" applyAlignment="1">
      <alignment horizontal="center" wrapText="1"/>
    </xf>
    <xf numFmtId="0" fontId="13" fillId="5" borderId="15" xfId="2" applyNumberFormat="1" applyFont="1" applyFill="1" applyBorder="1" applyAlignment="1">
      <alignment horizontal="center" vertical="center"/>
    </xf>
    <xf numFmtId="3" fontId="13" fillId="5" borderId="15" xfId="2" applyNumberFormat="1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 wrapText="1"/>
    </xf>
    <xf numFmtId="4" fontId="13" fillId="0" borderId="15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64" fontId="13" fillId="0" borderId="0" xfId="2" applyFont="1" applyFill="1" applyBorder="1" applyAlignment="1">
      <alignment horizontal="center" vertical="center"/>
    </xf>
    <xf numFmtId="166" fontId="30" fillId="0" borderId="0" xfId="0" applyNumberFormat="1" applyFont="1" applyFill="1" applyBorder="1" applyAlignment="1">
      <alignment horizontal="center" vertical="center"/>
    </xf>
    <xf numFmtId="4" fontId="49" fillId="0" borderId="13" xfId="0" applyNumberFormat="1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center" vertical="center"/>
    </xf>
    <xf numFmtId="4" fontId="31" fillId="0" borderId="1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/>
    </xf>
    <xf numFmtId="164" fontId="13" fillId="0" borderId="13" xfId="2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170" fontId="13" fillId="3" borderId="15" xfId="0" applyNumberFormat="1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164" fontId="34" fillId="0" borderId="10" xfId="2" applyFont="1" applyFill="1" applyBorder="1" applyAlignment="1">
      <alignment horizontal="center" vertical="center"/>
    </xf>
    <xf numFmtId="164" fontId="19" fillId="0" borderId="2" xfId="2" applyFont="1" applyFill="1" applyBorder="1" applyAlignment="1">
      <alignment horizontal="center" vertical="center"/>
    </xf>
    <xf numFmtId="164" fontId="44" fillId="0" borderId="2" xfId="2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21" fillId="2" borderId="0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Border="1"/>
    <xf numFmtId="3" fontId="13" fillId="5" borderId="0" xfId="2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49" fillId="6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wrapText="1"/>
    </xf>
    <xf numFmtId="3" fontId="13" fillId="0" borderId="13" xfId="3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center" wrapText="1"/>
    </xf>
    <xf numFmtId="3" fontId="13" fillId="0" borderId="1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right"/>
    </xf>
    <xf numFmtId="3" fontId="13" fillId="0" borderId="5" xfId="2" applyNumberFormat="1" applyFont="1" applyFill="1" applyBorder="1" applyAlignment="1">
      <alignment horizontal="center" vertical="center"/>
    </xf>
    <xf numFmtId="164" fontId="13" fillId="0" borderId="15" xfId="3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44" fontId="13" fillId="0" borderId="15" xfId="3" applyNumberFormat="1" applyFont="1" applyFill="1" applyBorder="1" applyAlignment="1">
      <alignment horizontal="center" vertical="center" wrapText="1"/>
    </xf>
    <xf numFmtId="3" fontId="13" fillId="0" borderId="4" xfId="2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wrapText="1"/>
    </xf>
    <xf numFmtId="170" fontId="13" fillId="0" borderId="15" xfId="3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Alignment="1">
      <alignment horizontal="center" wrapText="1"/>
    </xf>
    <xf numFmtId="0" fontId="13" fillId="3" borderId="15" xfId="0" applyNumberFormat="1" applyFont="1" applyFill="1" applyBorder="1" applyAlignment="1">
      <alignment horizontal="center" vertical="center"/>
    </xf>
    <xf numFmtId="170" fontId="13" fillId="5" borderId="15" xfId="2" applyNumberFormat="1" applyFont="1" applyFill="1" applyBorder="1" applyAlignment="1">
      <alignment horizontal="center" vertical="center"/>
    </xf>
    <xf numFmtId="0" fontId="13" fillId="0" borderId="15" xfId="3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>
      <alignment horizontal="left" vertical="center"/>
    </xf>
    <xf numFmtId="0" fontId="36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wrapText="1"/>
    </xf>
    <xf numFmtId="0" fontId="33" fillId="0" borderId="0" xfId="0" applyNumberFormat="1" applyFont="1" applyFill="1" applyBorder="1" applyAlignment="1">
      <alignment horizontal="left" vertical="center"/>
    </xf>
    <xf numFmtId="0" fontId="34" fillId="0" borderId="0" xfId="2" applyNumberFormat="1" applyFont="1" applyFill="1" applyBorder="1" applyAlignment="1">
      <alignment horizontal="center" vertical="center"/>
    </xf>
    <xf numFmtId="0" fontId="34" fillId="0" borderId="10" xfId="2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vertical="top"/>
    </xf>
    <xf numFmtId="0" fontId="21" fillId="0" borderId="0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vertical="center" wrapText="1"/>
    </xf>
    <xf numFmtId="49" fontId="13" fillId="9" borderId="15" xfId="3" applyNumberFormat="1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5" xfId="3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5" xfId="3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4" fontId="12" fillId="0" borderId="0" xfId="0" applyNumberFormat="1" applyFont="1" applyFill="1" applyAlignment="1">
      <alignment horizontal="center" wrapText="1"/>
    </xf>
    <xf numFmtId="4" fontId="29" fillId="0" borderId="0" xfId="0" applyNumberFormat="1" applyFont="1" applyFill="1" applyBorder="1" applyAlignment="1">
      <alignment horizontal="left" vertical="center"/>
    </xf>
    <xf numFmtId="4" fontId="36" fillId="0" borderId="0" xfId="0" applyNumberFormat="1" applyFont="1" applyFill="1" applyBorder="1" applyAlignment="1">
      <alignment horizontal="left" vertical="center"/>
    </xf>
    <xf numFmtId="4" fontId="13" fillId="0" borderId="15" xfId="3" applyNumberFormat="1" applyFont="1" applyFill="1" applyBorder="1" applyAlignment="1">
      <alignment horizontal="center" vertical="center" wrapText="1"/>
    </xf>
    <xf numFmtId="4" fontId="13" fillId="5" borderId="15" xfId="2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wrapText="1"/>
    </xf>
    <xf numFmtId="4" fontId="34" fillId="0" borderId="0" xfId="0" applyNumberFormat="1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left" vertical="center"/>
    </xf>
    <xf numFmtId="4" fontId="13" fillId="5" borderId="14" xfId="2" applyNumberFormat="1" applyFont="1" applyFill="1" applyBorder="1" applyAlignment="1">
      <alignment horizontal="center" vertical="center"/>
    </xf>
    <xf numFmtId="4" fontId="13" fillId="0" borderId="0" xfId="0" applyNumberFormat="1" applyFont="1" applyFill="1" applyAlignment="1">
      <alignment horizontal="center" wrapText="1"/>
    </xf>
    <xf numFmtId="4" fontId="53" fillId="0" borderId="0" xfId="2" applyNumberFormat="1" applyFont="1" applyBorder="1" applyAlignment="1">
      <alignment horizontal="justify" vertical="center" wrapText="1"/>
    </xf>
    <xf numFmtId="4" fontId="21" fillId="2" borderId="0" xfId="0" applyNumberFormat="1" applyFont="1" applyFill="1" applyAlignment="1">
      <alignment horizontal="center" wrapText="1"/>
    </xf>
    <xf numFmtId="4" fontId="10" fillId="2" borderId="0" xfId="0" applyNumberFormat="1" applyFont="1" applyFill="1" applyAlignment="1">
      <alignment horizontal="center" wrapText="1"/>
    </xf>
    <xf numFmtId="4" fontId="13" fillId="0" borderId="0" xfId="0" applyNumberFormat="1" applyFont="1" applyAlignment="1">
      <alignment vertical="top"/>
    </xf>
    <xf numFmtId="0" fontId="57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64" fontId="58" fillId="0" borderId="0" xfId="2" applyFont="1" applyBorder="1" applyAlignment="1">
      <alignment horizontal="justify" vertical="center" wrapText="1"/>
    </xf>
    <xf numFmtId="164" fontId="47" fillId="0" borderId="0" xfId="2" applyFont="1" applyBorder="1" applyAlignment="1">
      <alignment horizontal="justify" vertical="center" wrapText="1"/>
    </xf>
    <xf numFmtId="164" fontId="47" fillId="0" borderId="0" xfId="2" applyFont="1" applyFill="1" applyBorder="1" applyAlignment="1">
      <alignment horizontal="center" vertical="center"/>
    </xf>
    <xf numFmtId="170" fontId="5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Border="1"/>
    <xf numFmtId="4" fontId="32" fillId="0" borderId="0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164" fontId="13" fillId="0" borderId="5" xfId="2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31" fillId="3" borderId="11" xfId="0" applyNumberFormat="1" applyFont="1" applyFill="1" applyBorder="1" applyAlignment="1">
      <alignment horizontal="center" vertical="center"/>
    </xf>
    <xf numFmtId="4" fontId="31" fillId="4" borderId="15" xfId="0" applyNumberFormat="1" applyFont="1" applyFill="1" applyBorder="1" applyAlignment="1">
      <alignment horizontal="center" vertical="center"/>
    </xf>
    <xf numFmtId="170" fontId="13" fillId="2" borderId="0" xfId="0" applyNumberFormat="1" applyFont="1" applyFill="1" applyAlignment="1">
      <alignment horizontal="center" wrapText="1"/>
    </xf>
    <xf numFmtId="3" fontId="53" fillId="0" borderId="0" xfId="2" applyNumberFormat="1" applyFont="1" applyBorder="1" applyAlignment="1">
      <alignment horizontal="center" vertical="center" wrapText="1"/>
    </xf>
    <xf numFmtId="4" fontId="53" fillId="0" borderId="0" xfId="2" applyNumberFormat="1" applyFont="1" applyBorder="1" applyAlignment="1">
      <alignment horizontal="center" vertical="center" wrapText="1"/>
    </xf>
    <xf numFmtId="0" fontId="59" fillId="0" borderId="0" xfId="0" applyNumberFormat="1" applyFont="1" applyFill="1" applyBorder="1" applyAlignment="1">
      <alignment horizontal="center" wrapText="1"/>
    </xf>
    <xf numFmtId="4" fontId="59" fillId="0" borderId="0" xfId="0" applyNumberFormat="1" applyFont="1" applyFill="1" applyAlignment="1">
      <alignment horizontal="center" wrapText="1"/>
    </xf>
    <xf numFmtId="3" fontId="60" fillId="0" borderId="0" xfId="2" applyNumberFormat="1" applyFont="1" applyBorder="1" applyAlignment="1">
      <alignment horizontal="center" vertical="center" wrapText="1"/>
    </xf>
    <xf numFmtId="4" fontId="60" fillId="0" borderId="0" xfId="2" applyNumberFormat="1" applyFont="1" applyBorder="1" applyAlignment="1">
      <alignment horizontal="center" vertical="center" wrapText="1"/>
    </xf>
    <xf numFmtId="3" fontId="13" fillId="11" borderId="15" xfId="3" applyNumberFormat="1" applyFont="1" applyFill="1" applyBorder="1" applyAlignment="1">
      <alignment horizontal="center" vertical="center" wrapText="1"/>
    </xf>
    <xf numFmtId="3" fontId="13" fillId="12" borderId="15" xfId="3" applyNumberFormat="1" applyFont="1" applyFill="1" applyBorder="1" applyAlignment="1">
      <alignment horizontal="center" vertical="center" wrapText="1"/>
    </xf>
    <xf numFmtId="3" fontId="13" fillId="9" borderId="15" xfId="3" applyNumberFormat="1" applyFont="1" applyFill="1" applyBorder="1" applyAlignment="1">
      <alignment horizontal="center" vertical="center" wrapText="1"/>
    </xf>
    <xf numFmtId="3" fontId="13" fillId="13" borderId="15" xfId="0" applyNumberFormat="1" applyFont="1" applyFill="1" applyBorder="1" applyAlignment="1">
      <alignment horizontal="center" vertical="center" wrapText="1"/>
    </xf>
    <xf numFmtId="3" fontId="13" fillId="13" borderId="15" xfId="3" applyNumberFormat="1" applyFont="1" applyFill="1" applyBorder="1" applyAlignment="1">
      <alignment horizontal="center" vertical="center" wrapText="1"/>
    </xf>
    <xf numFmtId="3" fontId="13" fillId="14" borderId="15" xfId="3" applyNumberFormat="1" applyFont="1" applyFill="1" applyBorder="1" applyAlignment="1">
      <alignment horizontal="center" vertical="center" wrapText="1"/>
    </xf>
    <xf numFmtId="3" fontId="13" fillId="15" borderId="15" xfId="3" applyNumberFormat="1" applyFont="1" applyFill="1" applyBorder="1" applyAlignment="1">
      <alignment horizontal="center" vertical="center" wrapText="1"/>
    </xf>
    <xf numFmtId="3" fontId="13" fillId="16" borderId="15" xfId="3" applyNumberFormat="1" applyFont="1" applyFill="1" applyBorder="1" applyAlignment="1">
      <alignment horizontal="center" vertical="center" wrapText="1"/>
    </xf>
    <xf numFmtId="0" fontId="61" fillId="11" borderId="15" xfId="59" applyFont="1" applyFill="1" applyBorder="1"/>
    <xf numFmtId="0" fontId="61" fillId="11" borderId="0" xfId="59" applyFont="1" applyFill="1" applyBorder="1"/>
    <xf numFmtId="3" fontId="13" fillId="12" borderId="0" xfId="3" applyNumberFormat="1" applyFont="1" applyFill="1" applyBorder="1" applyAlignment="1">
      <alignment horizontal="center" vertical="center" wrapText="1"/>
    </xf>
    <xf numFmtId="3" fontId="13" fillId="9" borderId="0" xfId="3" applyNumberFormat="1" applyFont="1" applyFill="1" applyBorder="1" applyAlignment="1">
      <alignment horizontal="center" vertical="center" wrapText="1"/>
    </xf>
    <xf numFmtId="3" fontId="13" fillId="13" borderId="0" xfId="0" applyNumberFormat="1" applyFont="1" applyFill="1" applyBorder="1" applyAlignment="1">
      <alignment horizontal="center" vertical="center" wrapText="1"/>
    </xf>
    <xf numFmtId="0" fontId="13" fillId="10" borderId="0" xfId="3" applyFont="1" applyFill="1" applyBorder="1" applyAlignment="1">
      <alignment horizontal="center" vertical="center" wrapText="1"/>
    </xf>
    <xf numFmtId="3" fontId="13" fillId="14" borderId="0" xfId="3" applyNumberFormat="1" applyFont="1" applyFill="1" applyBorder="1" applyAlignment="1">
      <alignment horizontal="center" vertical="center" wrapText="1"/>
    </xf>
    <xf numFmtId="3" fontId="13" fillId="15" borderId="0" xfId="3" applyNumberFormat="1" applyFont="1" applyFill="1" applyBorder="1" applyAlignment="1">
      <alignment horizontal="center" vertical="center" wrapText="1"/>
    </xf>
    <xf numFmtId="3" fontId="13" fillId="17" borderId="15" xfId="3" applyNumberFormat="1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horizontal="center" vertical="center"/>
    </xf>
    <xf numFmtId="3" fontId="13" fillId="18" borderId="15" xfId="3" applyNumberFormat="1" applyFont="1" applyFill="1" applyBorder="1" applyAlignment="1">
      <alignment horizontal="center" vertical="center" wrapText="1"/>
    </xf>
    <xf numFmtId="3" fontId="13" fillId="18" borderId="15" xfId="0" applyNumberFormat="1" applyFont="1" applyFill="1" applyBorder="1" applyAlignment="1">
      <alignment horizontal="center" vertical="center" wrapText="1"/>
    </xf>
    <xf numFmtId="3" fontId="13" fillId="7" borderId="15" xfId="3" applyNumberFormat="1" applyFont="1" applyFill="1" applyBorder="1" applyAlignment="1">
      <alignment horizontal="center" vertical="center" wrapText="1"/>
    </xf>
    <xf numFmtId="3" fontId="13" fillId="19" borderId="15" xfId="3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/>
    </xf>
    <xf numFmtId="164" fontId="13" fillId="0" borderId="4" xfId="2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164" fontId="13" fillId="0" borderId="2" xfId="2" applyFont="1" applyFill="1" applyBorder="1" applyAlignment="1">
      <alignment horizontal="center" vertical="center"/>
    </xf>
    <xf numFmtId="14" fontId="13" fillId="17" borderId="15" xfId="3" applyNumberFormat="1" applyFont="1" applyFill="1" applyBorder="1" applyAlignment="1">
      <alignment horizontal="center" vertical="center" wrapText="1"/>
    </xf>
    <xf numFmtId="14" fontId="13" fillId="0" borderId="0" xfId="2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wrapText="1"/>
    </xf>
    <xf numFmtId="14" fontId="13" fillId="0" borderId="0" xfId="0" applyNumberFormat="1" applyFont="1" applyFill="1" applyBorder="1" applyAlignment="1">
      <alignment vertical="center" wrapText="1"/>
    </xf>
    <xf numFmtId="14" fontId="13" fillId="0" borderId="13" xfId="3" applyNumberFormat="1" applyFont="1" applyFill="1" applyBorder="1" applyAlignment="1">
      <alignment horizontal="center" vertical="center" wrapText="1"/>
    </xf>
    <xf numFmtId="14" fontId="34" fillId="0" borderId="0" xfId="0" applyNumberFormat="1" applyFont="1" applyFill="1" applyBorder="1" applyAlignment="1">
      <alignment horizontal="left" vertical="center"/>
    </xf>
    <xf numFmtId="14" fontId="13" fillId="2" borderId="0" xfId="0" applyNumberFormat="1" applyFont="1" applyFill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 wrapText="1"/>
    </xf>
    <xf numFmtId="14" fontId="13" fillId="17" borderId="0" xfId="3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vertical="top"/>
    </xf>
    <xf numFmtId="14" fontId="13" fillId="18" borderId="15" xfId="3" applyNumberFormat="1" applyFont="1" applyFill="1" applyBorder="1" applyAlignment="1">
      <alignment horizontal="center" vertical="center" wrapText="1"/>
    </xf>
    <xf numFmtId="14" fontId="13" fillId="0" borderId="15" xfId="3" applyNumberFormat="1" applyFont="1" applyFill="1" applyBorder="1" applyAlignment="1">
      <alignment horizontal="center" vertical="center" wrapText="1"/>
    </xf>
    <xf numFmtId="14" fontId="13" fillId="18" borderId="15" xfId="0" applyNumberFormat="1" applyFont="1" applyFill="1" applyBorder="1" applyAlignment="1">
      <alignment horizontal="center" vertical="center" wrapText="1"/>
    </xf>
    <xf numFmtId="14" fontId="13" fillId="15" borderId="15" xfId="3" applyNumberFormat="1" applyFont="1" applyFill="1" applyBorder="1" applyAlignment="1">
      <alignment horizontal="center" vertical="center" wrapText="1"/>
    </xf>
    <xf numFmtId="14" fontId="13" fillId="7" borderId="15" xfId="3" applyNumberFormat="1" applyFont="1" applyFill="1" applyBorder="1" applyAlignment="1">
      <alignment horizontal="center" vertical="center" wrapText="1"/>
    </xf>
    <xf numFmtId="14" fontId="13" fillId="19" borderId="15" xfId="3" applyNumberFormat="1" applyFont="1" applyFill="1" applyBorder="1" applyAlignment="1">
      <alignment horizontal="center" vertical="center" wrapText="1"/>
    </xf>
    <xf numFmtId="14" fontId="13" fillId="0" borderId="15" xfId="0" applyNumberFormat="1" applyFont="1" applyFill="1" applyBorder="1" applyAlignment="1">
      <alignment horizontal="center" vertical="center" wrapText="1"/>
    </xf>
    <xf numFmtId="3" fontId="13" fillId="5" borderId="11" xfId="2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wrapText="1"/>
    </xf>
    <xf numFmtId="3" fontId="13" fillId="0" borderId="0" xfId="0" applyNumberFormat="1" applyFont="1" applyFill="1" applyBorder="1" applyAlignment="1">
      <alignment horizontal="left" vertical="center"/>
    </xf>
    <xf numFmtId="14" fontId="13" fillId="0" borderId="0" xfId="0" applyNumberFormat="1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14" fontId="54" fillId="0" borderId="0" xfId="0" applyNumberFormat="1" applyFont="1" applyFill="1" applyBorder="1" applyAlignment="1">
      <alignment horizontal="left" vertical="center"/>
    </xf>
    <xf numFmtId="3" fontId="54" fillId="0" borderId="0" xfId="0" applyNumberFormat="1" applyFont="1" applyFill="1" applyBorder="1" applyAlignment="1">
      <alignment horizontal="left" vertical="center"/>
    </xf>
    <xf numFmtId="14" fontId="34" fillId="0" borderId="0" xfId="0" applyNumberFormat="1" applyFont="1" applyFill="1" applyBorder="1" applyAlignment="1">
      <alignment horizontal="center" vertical="center"/>
    </xf>
    <xf numFmtId="14" fontId="13" fillId="2" borderId="0" xfId="0" applyNumberFormat="1" applyFont="1" applyFill="1" applyAlignment="1">
      <alignment horizontal="center" wrapText="1"/>
    </xf>
    <xf numFmtId="4" fontId="31" fillId="4" borderId="9" xfId="0" applyNumberFormat="1" applyFont="1" applyFill="1" applyBorder="1" applyAlignment="1">
      <alignment horizontal="center" vertical="center" wrapText="1"/>
    </xf>
    <xf numFmtId="0" fontId="61" fillId="0" borderId="0" xfId="59" applyFont="1" applyFill="1" applyBorder="1"/>
    <xf numFmtId="4" fontId="58" fillId="0" borderId="0" xfId="0" applyNumberFormat="1" applyFont="1" applyFill="1" applyBorder="1" applyAlignment="1">
      <alignment horizontal="center" vertical="center"/>
    </xf>
    <xf numFmtId="4" fontId="62" fillId="2" borderId="0" xfId="0" applyNumberFormat="1" applyFont="1" applyFill="1" applyAlignment="1">
      <alignment horizontal="center" vertical="center"/>
    </xf>
    <xf numFmtId="10" fontId="58" fillId="0" borderId="0" xfId="2" applyNumberFormat="1" applyFont="1" applyBorder="1" applyAlignment="1">
      <alignment horizontal="justify" vertical="center" wrapText="1"/>
    </xf>
    <xf numFmtId="49" fontId="30" fillId="0" borderId="0" xfId="0" applyNumberFormat="1" applyFont="1" applyFill="1" applyBorder="1" applyAlignment="1">
      <alignment horizontal="center" vertical="center"/>
    </xf>
    <xf numFmtId="4" fontId="13" fillId="0" borderId="15" xfId="2" applyNumberFormat="1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4" fontId="34" fillId="0" borderId="0" xfId="2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4" fontId="58" fillId="0" borderId="0" xfId="2" applyNumberFormat="1" applyFont="1" applyBorder="1" applyAlignment="1">
      <alignment horizontal="justify" vertical="center" wrapText="1"/>
    </xf>
    <xf numFmtId="4" fontId="56" fillId="8" borderId="12" xfId="0" applyNumberFormat="1" applyFont="1" applyFill="1" applyBorder="1" applyAlignment="1">
      <alignment horizontal="center" vertical="center" wrapText="1"/>
    </xf>
    <xf numFmtId="4" fontId="56" fillId="8" borderId="14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4" fontId="31" fillId="3" borderId="14" xfId="0" applyNumberFormat="1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3" fontId="56" fillId="8" borderId="12" xfId="0" applyNumberFormat="1" applyFont="1" applyFill="1" applyBorder="1" applyAlignment="1">
      <alignment horizontal="center" vertical="center" wrapText="1"/>
    </xf>
    <xf numFmtId="3" fontId="56" fillId="8" borderId="14" xfId="0" applyNumberFormat="1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3" fontId="31" fillId="7" borderId="12" xfId="0" applyNumberFormat="1" applyFont="1" applyFill="1" applyBorder="1" applyAlignment="1">
      <alignment horizontal="center" vertical="center" wrapText="1"/>
    </xf>
    <xf numFmtId="3" fontId="31" fillId="7" borderId="14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horizontal="center" vertical="center" wrapText="1"/>
    </xf>
    <xf numFmtId="4" fontId="41" fillId="0" borderId="2" xfId="0" applyNumberFormat="1" applyFont="1" applyFill="1" applyBorder="1" applyAlignment="1">
      <alignment horizontal="center" vertical="center" wrapText="1"/>
    </xf>
    <xf numFmtId="4" fontId="41" fillId="0" borderId="4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 wrapText="1"/>
    </xf>
    <xf numFmtId="4" fontId="41" fillId="0" borderId="6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4" fontId="31" fillId="4" borderId="9" xfId="0" applyNumberFormat="1" applyFont="1" applyFill="1" applyBorder="1" applyAlignment="1">
      <alignment horizontal="center" vertical="center" wrapText="1"/>
    </xf>
    <xf numFmtId="4" fontId="31" fillId="4" borderId="10" xfId="0" applyNumberFormat="1" applyFont="1" applyFill="1" applyBorder="1" applyAlignment="1">
      <alignment horizontal="center" vertical="center" wrapText="1"/>
    </xf>
    <xf numFmtId="4" fontId="49" fillId="6" borderId="15" xfId="0" applyNumberFormat="1" applyFont="1" applyFill="1" applyBorder="1" applyAlignment="1">
      <alignment horizontal="center" vertical="center"/>
    </xf>
    <xf numFmtId="4" fontId="31" fillId="4" borderId="12" xfId="0" applyNumberFormat="1" applyFont="1" applyFill="1" applyBorder="1" applyAlignment="1">
      <alignment horizontal="center" vertical="center" wrapText="1"/>
    </xf>
    <xf numFmtId="4" fontId="31" fillId="4" borderId="1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vertical="center" wrapText="1"/>
    </xf>
    <xf numFmtId="0" fontId="49" fillId="6" borderId="10" xfId="0" applyFont="1" applyFill="1" applyBorder="1" applyAlignment="1">
      <alignment horizontal="center" vertical="center" wrapText="1"/>
    </xf>
    <xf numFmtId="0" fontId="49" fillId="6" borderId="11" xfId="0" applyFont="1" applyFill="1" applyBorder="1" applyAlignment="1">
      <alignment horizontal="center" vertical="center" wrapText="1"/>
    </xf>
    <xf numFmtId="0" fontId="56" fillId="8" borderId="12" xfId="0" applyNumberFormat="1" applyFont="1" applyFill="1" applyBorder="1" applyAlignment="1">
      <alignment horizontal="center" vertical="center" wrapText="1"/>
    </xf>
    <xf numFmtId="0" fontId="56" fillId="8" borderId="14" xfId="0" applyNumberFormat="1" applyFont="1" applyFill="1" applyBorder="1" applyAlignment="1">
      <alignment horizontal="center" vertical="center" wrapText="1"/>
    </xf>
    <xf numFmtId="4" fontId="49" fillId="6" borderId="10" xfId="0" applyNumberFormat="1" applyFont="1" applyFill="1" applyBorder="1" applyAlignment="1">
      <alignment horizontal="center" vertical="center"/>
    </xf>
    <xf numFmtId="4" fontId="49" fillId="6" borderId="1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61" fillId="0" borderId="15" xfId="59" applyFont="1" applyFill="1" applyBorder="1"/>
    <xf numFmtId="0" fontId="13" fillId="18" borderId="15" xfId="3" applyFont="1" applyFill="1" applyBorder="1" applyAlignment="1">
      <alignment horizontal="center" vertical="center" wrapText="1"/>
    </xf>
    <xf numFmtId="0" fontId="13" fillId="17" borderId="15" xfId="3" applyFont="1" applyFill="1" applyBorder="1" applyAlignment="1">
      <alignment horizontal="center" vertical="center" wrapText="1"/>
    </xf>
  </cellXfs>
  <cellStyles count="61">
    <cellStyle name="Euro" xfId="4"/>
    <cellStyle name="Millares" xfId="1" builtinId="3"/>
    <cellStyle name="Millares 2" xfId="5"/>
    <cellStyle name="Millares 2 2" xfId="35"/>
    <cellStyle name="Millares 3" xfId="32"/>
    <cellStyle name="Moneda" xfId="2" builtinId="4"/>
    <cellStyle name="Moneda 2" xfId="6"/>
    <cellStyle name="Moneda 2 2" xfId="7"/>
    <cellStyle name="Moneda 2 2 2" xfId="55"/>
    <cellStyle name="Moneda 2 2 3" xfId="51"/>
    <cellStyle name="Moneda 2 3" xfId="20"/>
    <cellStyle name="Moneda 2 3 2" xfId="56"/>
    <cellStyle name="Moneda 2 3 3" xfId="52"/>
    <cellStyle name="Moneda 2 4" xfId="36"/>
    <cellStyle name="Moneda 2 4 2" xfId="54"/>
    <cellStyle name="Moneda 2 5" xfId="49"/>
    <cellStyle name="Moneda 3" xfId="8"/>
    <cellStyle name="Moneda 3 2" xfId="30"/>
    <cellStyle name="Moneda 3 3" xfId="53"/>
    <cellStyle name="Moneda 4" xfId="19"/>
    <cellStyle name="Moneda 4 2" xfId="26"/>
    <cellStyle name="Moneda 5" xfId="22"/>
    <cellStyle name="Moneda 6" xfId="28"/>
    <cellStyle name="Moneda 7" xfId="33"/>
    <cellStyle name="Moneda 8" xfId="44"/>
    <cellStyle name="Moneda 9" xfId="47"/>
    <cellStyle name="Normal" xfId="0" builtinId="0"/>
    <cellStyle name="Normal 2" xfId="3"/>
    <cellStyle name="Normal 2 2" xfId="34"/>
    <cellStyle name="Normal 3" xfId="9"/>
    <cellStyle name="Normal 3 2" xfId="10"/>
    <cellStyle name="Normal 3 3" xfId="38"/>
    <cellStyle name="Normal 4" xfId="11"/>
    <cellStyle name="Normal 4 2" xfId="12"/>
    <cellStyle name="Normal 4 2 2" xfId="17"/>
    <cellStyle name="Normal 4 2 2 2" xfId="24"/>
    <cellStyle name="Normal 4 2 2 2 2" xfId="40"/>
    <cellStyle name="Normal 4 2 2 2 2 2" xfId="59"/>
    <cellStyle name="Normal 4 2 2 2 3" xfId="50"/>
    <cellStyle name="Normal 4 3" xfId="18"/>
    <cellStyle name="Normal 4 3 2" xfId="25"/>
    <cellStyle name="Normal 4 3 2 2" xfId="45"/>
    <cellStyle name="Normal 4 3 2 2 2" xfId="60"/>
    <cellStyle name="Normal 4 4" xfId="29"/>
    <cellStyle name="Normal 5" xfId="13"/>
    <cellStyle name="Normal 6" xfId="21"/>
    <cellStyle name="Normal 6 2" xfId="42"/>
    <cellStyle name="Normal 6 2 2" xfId="57"/>
    <cellStyle name="Normal 7" xfId="27"/>
    <cellStyle name="Normal 7 2" xfId="41"/>
    <cellStyle name="Normal 8" xfId="31"/>
    <cellStyle name="Normal 9" xfId="46"/>
    <cellStyle name="Porcentaje 2" xfId="14"/>
    <cellStyle name="Porcentaje 2 2" xfId="15"/>
    <cellStyle name="Porcentaje 2 3" xfId="16"/>
    <cellStyle name="Porcentaje 2 4" xfId="37"/>
    <cellStyle name="Porcentaje 3" xfId="23"/>
    <cellStyle name="Porcentaje 3 2" xfId="43"/>
    <cellStyle name="Porcentaje 3 2 2" xfId="58"/>
    <cellStyle name="Porcentaje 4" xfId="39"/>
    <cellStyle name="Porcentaje 5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2254250</xdr:colOff>
      <xdr:row>0</xdr:row>
      <xdr:rowOff>95250</xdr:rowOff>
    </xdr:from>
    <xdr:to>
      <xdr:col>4</xdr:col>
      <xdr:colOff>952501</xdr:colOff>
      <xdr:row>2</xdr:row>
      <xdr:rowOff>1782537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8" t="22059" r="11356" b="19118"/>
        <a:stretch/>
      </xdr:blipFill>
      <xdr:spPr>
        <a:xfrm>
          <a:off x="2254250" y="95250"/>
          <a:ext cx="7048501" cy="5370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1777999</xdr:colOff>
      <xdr:row>0</xdr:row>
      <xdr:rowOff>122464</xdr:rowOff>
    </xdr:from>
    <xdr:to>
      <xdr:col>4</xdr:col>
      <xdr:colOff>444500</xdr:colOff>
      <xdr:row>2</xdr:row>
      <xdr:rowOff>1809751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8" t="22059" r="11356" b="19118"/>
        <a:stretch/>
      </xdr:blipFill>
      <xdr:spPr>
        <a:xfrm>
          <a:off x="1777999" y="122464"/>
          <a:ext cx="7048501" cy="53702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ropbox.com/var/mobile/Containers/Bundle/Application/CC84F483-9F60-4B78-94D7-9DC50483314B/Excel.app/D:/Documents%20and%20Settings/Laura/Mis%20documentos/DIR.%20GRAL%20OBRA%20P&#218;BLICA/Propuesta%202009/actualizaciones/PROPUESTA%20PGO%20ANUAL%20'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INFORME\1er.%20INFORME\1er.%20Informe%20de%20Gobierno%202009-2012_Tabla%20Gral.2da%20revisi&#243;n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RTESL\Escritorio\INFORME%20DE%20GOBIERNO\CONSTRUCCI&#211;N\1er.%20Informe%20de%20Gobierno%202009-2012_Tabla%20Gral.2da%20revisi&#243;n%2002%20AGO%202010%20CONSTRUCC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DILLOG/Desktop/Propuesta%20modificada/Copia%20de%20POPYAS%202017%20INICIAL%20actualizado%20al%202017%2003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 (Proyección)"/>
      <sheetName val="INFORMACIÓN (Proyección)"/>
      <sheetName val="Gráficas (General y Proyecc (2)"/>
      <sheetName val="RUBRO (Heredadas y Nuevas)"/>
      <sheetName val="INFORMACIÓN(Heredadas y Nuevas)"/>
      <sheetName val="Gráficas (Heredadas y Nuevas)"/>
      <sheetName val="INFORMACIÓN (Adm. Directa)"/>
      <sheetName val="Gráficas (Adm. Directa)"/>
      <sheetName val="RUBRO (General)"/>
      <sheetName val="INFORMACIÓN (General)"/>
      <sheetName val="Gráficas (General y Proyección)"/>
      <sheetName val="INFORMACIÓN CONCENTRADO"/>
      <sheetName val="Catalogos"/>
      <sheetName val="1er"/>
      <sheetName val="Ejerc. (Proyección)"/>
      <sheetName val="Información (4)"/>
      <sheetName val="RUBRO (Oct. 2009 a Jul. 2010)"/>
      <sheetName val="Información (3)"/>
      <sheetName val="Ejerc. (Oct. 2009 a Jul. 2010)"/>
      <sheetName val="Informa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(3)"/>
      <sheetName val="Información (2)"/>
      <sheetName val="Información"/>
      <sheetName val="Catalogos"/>
      <sheetName val="1er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POPyAS 2017"/>
    </sheetNames>
    <sheetDataSet>
      <sheetData sheetId="0" refreshError="1">
        <row r="17">
          <cell r="L17">
            <v>27000000.001228072</v>
          </cell>
        </row>
        <row r="26">
          <cell r="L26">
            <v>4200000</v>
          </cell>
        </row>
        <row r="103">
          <cell r="L103">
            <v>2970890.7800000003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338"/>
  <sheetViews>
    <sheetView tabSelected="1" view="pageBreakPreview" topLeftCell="A4" zoomScale="25" zoomScaleNormal="25" zoomScaleSheetLayoutView="25" zoomScalePageLayoutView="50" workbookViewId="0">
      <pane xSplit="28" ySplit="3" topLeftCell="AC7" activePane="bottomRight" state="frozen"/>
      <selection activeCell="A4" sqref="A4"/>
      <selection pane="topRight" activeCell="AC4" sqref="AC4"/>
      <selection pane="bottomLeft" activeCell="A7" sqref="A7"/>
      <selection pane="bottomRight" activeCell="A243" sqref="A243:XFD243"/>
    </sheetView>
  </sheetViews>
  <sheetFormatPr baseColWidth="10" defaultColWidth="11.42578125" defaultRowHeight="42" x14ac:dyDescent="0.55000000000000004"/>
  <cols>
    <col min="1" max="1" width="38.42578125" style="47" customWidth="1"/>
    <col min="2" max="2" width="20.42578125" style="48" customWidth="1"/>
    <col min="3" max="3" width="18.140625" style="48" customWidth="1"/>
    <col min="4" max="5" width="48.28515625" style="48" customWidth="1"/>
    <col min="6" max="6" width="57.42578125" style="48" customWidth="1"/>
    <col min="7" max="7" width="47.7109375" style="48" hidden="1" customWidth="1"/>
    <col min="8" max="8" width="119.28515625" style="49" customWidth="1"/>
    <col min="9" max="9" width="49.5703125" style="50" customWidth="1"/>
    <col min="10" max="10" width="5.28515625" style="200" hidden="1" customWidth="1"/>
    <col min="11" max="11" width="60.28515625" style="195" hidden="1" customWidth="1"/>
    <col min="12" max="13" width="51.7109375" style="300" hidden="1" customWidth="1"/>
    <col min="14" max="14" width="58.42578125" style="300" hidden="1" customWidth="1"/>
    <col min="15" max="15" width="5.28515625" style="200" hidden="1" customWidth="1"/>
    <col min="16" max="16" width="49.5703125" style="149" hidden="1" customWidth="1"/>
    <col min="17" max="17" width="5.28515625" style="200" hidden="1" customWidth="1"/>
    <col min="18" max="18" width="28.140625" style="200" hidden="1" customWidth="1"/>
    <col min="19" max="19" width="66.7109375" style="246" hidden="1" customWidth="1"/>
    <col min="20" max="20" width="23.85546875" style="200" hidden="1" customWidth="1"/>
    <col min="21" max="21" width="63.140625" style="246" hidden="1" customWidth="1"/>
    <col min="22" max="22" width="5.28515625" style="200" hidden="1" customWidth="1"/>
    <col min="23" max="24" width="47.28515625" style="49" customWidth="1"/>
    <col min="25" max="25" width="50.28515625" style="71" customWidth="1"/>
    <col min="26" max="26" width="52.85546875" style="58" customWidth="1"/>
    <col min="27" max="27" width="52.85546875" style="58" hidden="1" customWidth="1"/>
    <col min="28" max="32" width="64.42578125" style="53" customWidth="1"/>
    <col min="33" max="41" width="54.5703125" style="53" customWidth="1"/>
    <col min="42" max="42" width="5.7109375" style="165" customWidth="1"/>
    <col min="43" max="16384" width="11.42578125" style="3"/>
  </cols>
  <sheetData>
    <row r="1" spans="1:42" ht="144" customHeight="1" x14ac:dyDescent="0.2">
      <c r="A1" s="1"/>
      <c r="B1" s="2"/>
      <c r="C1" s="2"/>
      <c r="D1" s="2"/>
      <c r="E1" s="2"/>
      <c r="F1" s="342" t="s">
        <v>35</v>
      </c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3"/>
      <c r="Y1" s="358" t="s">
        <v>148</v>
      </c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2"/>
      <c r="AO1" s="353"/>
      <c r="AP1" s="329"/>
    </row>
    <row r="2" spans="1:42" ht="144" customHeight="1" x14ac:dyDescent="0.2">
      <c r="A2" s="5"/>
      <c r="B2" s="6"/>
      <c r="C2" s="6"/>
      <c r="D2" s="6"/>
      <c r="E2" s="6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3"/>
      <c r="Y2" s="360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54" t="s">
        <v>405</v>
      </c>
      <c r="AO2" s="355"/>
      <c r="AP2" s="329"/>
    </row>
    <row r="3" spans="1:42" ht="144" customHeight="1" x14ac:dyDescent="0.2">
      <c r="A3" s="7"/>
      <c r="B3" s="8"/>
      <c r="C3" s="8"/>
      <c r="D3" s="8"/>
      <c r="E3" s="8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3"/>
      <c r="Y3" s="362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56">
        <v>43112</v>
      </c>
      <c r="AO3" s="357"/>
      <c r="AP3" s="157"/>
    </row>
    <row r="4" spans="1:42" s="136" customFormat="1" ht="132.75" customHeight="1" x14ac:dyDescent="0.2">
      <c r="A4" s="348" t="s">
        <v>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191"/>
      <c r="W4" s="184"/>
      <c r="X4" s="184"/>
      <c r="Y4" s="184"/>
      <c r="Z4" s="135"/>
      <c r="AA4" s="135"/>
      <c r="AB4" s="373" t="s">
        <v>2</v>
      </c>
      <c r="AC4" s="374"/>
      <c r="AD4" s="374"/>
      <c r="AE4" s="374"/>
      <c r="AF4" s="375"/>
      <c r="AG4" s="367"/>
      <c r="AH4" s="367"/>
      <c r="AI4" s="367"/>
      <c r="AJ4" s="367"/>
      <c r="AK4" s="367"/>
      <c r="AL4" s="367"/>
      <c r="AM4" s="367"/>
      <c r="AN4" s="367"/>
      <c r="AO4" s="367"/>
      <c r="AP4" s="158"/>
    </row>
    <row r="5" spans="1:42" s="78" customFormat="1" ht="90.75" customHeight="1" x14ac:dyDescent="0.2">
      <c r="A5" s="339" t="s">
        <v>3</v>
      </c>
      <c r="B5" s="339" t="s">
        <v>4</v>
      </c>
      <c r="C5" s="339" t="s">
        <v>5</v>
      </c>
      <c r="D5" s="339" t="s">
        <v>6</v>
      </c>
      <c r="E5" s="339" t="s">
        <v>117</v>
      </c>
      <c r="F5" s="339" t="s">
        <v>118</v>
      </c>
      <c r="G5" s="344" t="s">
        <v>7</v>
      </c>
      <c r="H5" s="339" t="s">
        <v>8</v>
      </c>
      <c r="I5" s="339" t="s">
        <v>9</v>
      </c>
      <c r="J5" s="192"/>
      <c r="K5" s="335" t="s">
        <v>199</v>
      </c>
      <c r="L5" s="335" t="s">
        <v>238</v>
      </c>
      <c r="M5" s="335" t="s">
        <v>242</v>
      </c>
      <c r="N5" s="335" t="s">
        <v>239</v>
      </c>
      <c r="O5" s="192"/>
      <c r="P5" s="350" t="s">
        <v>157</v>
      </c>
      <c r="Q5" s="192"/>
      <c r="R5" s="346" t="s">
        <v>67</v>
      </c>
      <c r="S5" s="335" t="s">
        <v>64</v>
      </c>
      <c r="T5" s="346" t="s">
        <v>67</v>
      </c>
      <c r="U5" s="335" t="s">
        <v>65</v>
      </c>
      <c r="V5" s="192"/>
      <c r="W5" s="339" t="s">
        <v>10</v>
      </c>
      <c r="X5" s="339" t="s">
        <v>11</v>
      </c>
      <c r="Y5" s="339" t="s">
        <v>1</v>
      </c>
      <c r="Z5" s="339" t="s">
        <v>12</v>
      </c>
      <c r="AA5" s="371" t="s">
        <v>13</v>
      </c>
      <c r="AB5" s="368" t="s">
        <v>14</v>
      </c>
      <c r="AC5" s="339" t="s">
        <v>330</v>
      </c>
      <c r="AD5" s="339" t="s">
        <v>331</v>
      </c>
      <c r="AE5" s="339" t="s">
        <v>332</v>
      </c>
      <c r="AF5" s="368" t="s">
        <v>333</v>
      </c>
      <c r="AG5" s="263" t="s">
        <v>60</v>
      </c>
      <c r="AH5" s="262" t="s">
        <v>61</v>
      </c>
      <c r="AI5" s="365" t="s">
        <v>15</v>
      </c>
      <c r="AJ5" s="366"/>
      <c r="AK5" s="366"/>
      <c r="AL5" s="366"/>
      <c r="AM5" s="341"/>
      <c r="AN5" s="341"/>
      <c r="AO5" s="368" t="s">
        <v>137</v>
      </c>
      <c r="AP5" s="159"/>
    </row>
    <row r="6" spans="1:42" s="77" customFormat="1" ht="371.25" customHeight="1" x14ac:dyDescent="0.55000000000000004">
      <c r="A6" s="340"/>
      <c r="B6" s="340"/>
      <c r="C6" s="340"/>
      <c r="D6" s="340" t="s">
        <v>6</v>
      </c>
      <c r="E6" s="340" t="s">
        <v>16</v>
      </c>
      <c r="F6" s="340" t="s">
        <v>17</v>
      </c>
      <c r="G6" s="345"/>
      <c r="H6" s="340"/>
      <c r="I6" s="340"/>
      <c r="J6" s="192"/>
      <c r="K6" s="336"/>
      <c r="L6" s="336"/>
      <c r="M6" s="336"/>
      <c r="N6" s="336"/>
      <c r="O6" s="192"/>
      <c r="P6" s="351"/>
      <c r="Q6" s="192"/>
      <c r="R6" s="347"/>
      <c r="S6" s="336"/>
      <c r="T6" s="347"/>
      <c r="U6" s="336"/>
      <c r="V6" s="192"/>
      <c r="W6" s="340"/>
      <c r="X6" s="340"/>
      <c r="Y6" s="340"/>
      <c r="Z6" s="340"/>
      <c r="AA6" s="372" t="s">
        <v>18</v>
      </c>
      <c r="AB6" s="369"/>
      <c r="AC6" s="340"/>
      <c r="AD6" s="340"/>
      <c r="AE6" s="340"/>
      <c r="AF6" s="369"/>
      <c r="AG6" s="134" t="s">
        <v>133</v>
      </c>
      <c r="AH6" s="84" t="s">
        <v>134</v>
      </c>
      <c r="AI6" s="134" t="s">
        <v>94</v>
      </c>
      <c r="AJ6" s="134" t="s">
        <v>135</v>
      </c>
      <c r="AK6" s="134" t="s">
        <v>93</v>
      </c>
      <c r="AL6" s="134" t="s">
        <v>136</v>
      </c>
      <c r="AM6" s="84" t="s">
        <v>319</v>
      </c>
      <c r="AN6" s="324" t="s">
        <v>320</v>
      </c>
      <c r="AO6" s="369"/>
      <c r="AP6" s="160"/>
    </row>
    <row r="7" spans="1:42" s="82" customFormat="1" ht="23.25" customHeight="1" x14ac:dyDescent="0.55000000000000004">
      <c r="A7" s="110"/>
      <c r="B7" s="9"/>
      <c r="C7" s="9"/>
      <c r="D7" s="9"/>
      <c r="E7" s="9"/>
      <c r="F7" s="9"/>
      <c r="G7" s="9"/>
      <c r="H7" s="10"/>
      <c r="I7" s="11"/>
      <c r="J7" s="193"/>
      <c r="K7" s="29"/>
      <c r="L7" s="316"/>
      <c r="M7" s="316"/>
      <c r="N7" s="316"/>
      <c r="O7" s="193"/>
      <c r="P7" s="138"/>
      <c r="Q7" s="193"/>
      <c r="R7" s="193"/>
      <c r="S7" s="234"/>
      <c r="T7" s="193"/>
      <c r="U7" s="234"/>
      <c r="V7" s="193"/>
      <c r="W7" s="10"/>
      <c r="X7" s="10"/>
      <c r="Y7" s="61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61"/>
    </row>
    <row r="8" spans="1:42" s="106" customFormat="1" ht="43.5" customHeight="1" x14ac:dyDescent="0.2">
      <c r="A8" s="85" t="s">
        <v>234</v>
      </c>
      <c r="B8" s="105"/>
      <c r="C8" s="105"/>
      <c r="D8" s="105"/>
      <c r="E8" s="105"/>
      <c r="F8" s="105"/>
      <c r="G8" s="105"/>
      <c r="H8" s="105"/>
      <c r="J8" s="139"/>
      <c r="K8" s="143"/>
      <c r="L8" s="303"/>
      <c r="M8" s="303"/>
      <c r="N8" s="303"/>
      <c r="O8" s="139"/>
      <c r="P8" s="139"/>
      <c r="Q8" s="139"/>
      <c r="R8" s="139"/>
      <c r="S8" s="235"/>
      <c r="T8" s="139"/>
      <c r="U8" s="235"/>
      <c r="V8" s="139"/>
      <c r="Y8" s="111"/>
      <c r="Z8" s="60"/>
      <c r="AA8" s="60"/>
      <c r="AB8" s="60"/>
      <c r="AC8" s="107"/>
      <c r="AD8" s="107"/>
      <c r="AE8" s="107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s="13" customFormat="1" ht="171.75" customHeight="1" x14ac:dyDescent="0.45">
      <c r="A9" s="73" t="s">
        <v>268</v>
      </c>
      <c r="B9" s="73" t="s">
        <v>257</v>
      </c>
      <c r="C9" s="74" t="s">
        <v>55</v>
      </c>
      <c r="D9" s="74" t="s">
        <v>20</v>
      </c>
      <c r="E9" s="74" t="s">
        <v>20</v>
      </c>
      <c r="F9" s="74" t="s">
        <v>20</v>
      </c>
      <c r="G9" s="74"/>
      <c r="H9" s="121" t="s">
        <v>235</v>
      </c>
      <c r="I9" s="73" t="s">
        <v>43</v>
      </c>
      <c r="J9" s="194"/>
      <c r="K9" s="287" t="s">
        <v>241</v>
      </c>
      <c r="L9" s="298">
        <v>42800</v>
      </c>
      <c r="M9" s="298">
        <v>43179</v>
      </c>
      <c r="N9" s="287" t="s">
        <v>240</v>
      </c>
      <c r="O9" s="194"/>
      <c r="P9" s="273"/>
      <c r="Q9" s="194"/>
      <c r="R9" s="141">
        <v>1</v>
      </c>
      <c r="S9" s="237">
        <f>AF9</f>
        <v>0</v>
      </c>
      <c r="T9" s="141"/>
      <c r="U9" s="237"/>
      <c r="V9" s="280"/>
      <c r="W9" s="73" t="s">
        <v>54</v>
      </c>
      <c r="X9" s="152" t="s">
        <v>21</v>
      </c>
      <c r="Y9" s="152" t="s">
        <v>20</v>
      </c>
      <c r="Z9" s="153" t="s">
        <v>20</v>
      </c>
      <c r="AA9" s="153" t="s">
        <v>20</v>
      </c>
      <c r="AB9" s="76">
        <v>7800000</v>
      </c>
      <c r="AC9" s="330">
        <f>AB9</f>
        <v>7800000</v>
      </c>
      <c r="AD9" s="330"/>
      <c r="AE9" s="330"/>
      <c r="AF9" s="76">
        <f>SUM(AG9:AO9)</f>
        <v>0</v>
      </c>
      <c r="AG9" s="153">
        <f>7800000-7800000</f>
        <v>0</v>
      </c>
      <c r="AH9" s="75"/>
      <c r="AI9" s="75"/>
      <c r="AJ9" s="75"/>
      <c r="AK9" s="75"/>
      <c r="AL9" s="75"/>
      <c r="AM9" s="153"/>
      <c r="AN9" s="153"/>
      <c r="AO9" s="153"/>
      <c r="AP9" s="162"/>
    </row>
    <row r="10" spans="1:42" s="13" customFormat="1" ht="171.75" customHeight="1" x14ac:dyDescent="0.45">
      <c r="A10" s="73" t="s">
        <v>335</v>
      </c>
      <c r="B10" s="73" t="s">
        <v>257</v>
      </c>
      <c r="C10" s="74" t="s">
        <v>55</v>
      </c>
      <c r="D10" s="74" t="s">
        <v>20</v>
      </c>
      <c r="E10" s="74" t="s">
        <v>20</v>
      </c>
      <c r="F10" s="74" t="s">
        <v>20</v>
      </c>
      <c r="G10" s="74"/>
      <c r="H10" s="121" t="s">
        <v>334</v>
      </c>
      <c r="I10" s="73" t="s">
        <v>43</v>
      </c>
      <c r="J10" s="194"/>
      <c r="K10" s="287" t="s">
        <v>241</v>
      </c>
      <c r="L10" s="298">
        <v>42800</v>
      </c>
      <c r="M10" s="298">
        <v>43179</v>
      </c>
      <c r="N10" s="287" t="s">
        <v>240</v>
      </c>
      <c r="O10" s="194"/>
      <c r="P10" s="273"/>
      <c r="Q10" s="194"/>
      <c r="R10" s="141">
        <v>1</v>
      </c>
      <c r="S10" s="237">
        <f>AF10</f>
        <v>7800000</v>
      </c>
      <c r="T10" s="141"/>
      <c r="U10" s="237"/>
      <c r="V10" s="280"/>
      <c r="W10" s="73" t="s">
        <v>21</v>
      </c>
      <c r="X10" s="152" t="s">
        <v>21</v>
      </c>
      <c r="Y10" s="152" t="s">
        <v>20</v>
      </c>
      <c r="Z10" s="153" t="s">
        <v>20</v>
      </c>
      <c r="AA10" s="153" t="s">
        <v>20</v>
      </c>
      <c r="AB10" s="76">
        <v>0</v>
      </c>
      <c r="AC10" s="330"/>
      <c r="AD10" s="330"/>
      <c r="AE10" s="330">
        <v>7800000</v>
      </c>
      <c r="AF10" s="76">
        <f>SUM(AG10:AO10)</f>
        <v>7800000</v>
      </c>
      <c r="AG10" s="153">
        <v>7800000</v>
      </c>
      <c r="AH10" s="75"/>
      <c r="AI10" s="75"/>
      <c r="AJ10" s="75"/>
      <c r="AK10" s="75"/>
      <c r="AL10" s="75"/>
      <c r="AM10" s="153"/>
      <c r="AN10" s="153"/>
      <c r="AO10" s="153"/>
      <c r="AP10" s="162"/>
    </row>
    <row r="11" spans="1:42" s="13" customFormat="1" ht="171.75" customHeight="1" x14ac:dyDescent="0.45">
      <c r="A11" s="73" t="s">
        <v>269</v>
      </c>
      <c r="B11" s="73" t="s">
        <v>257</v>
      </c>
      <c r="C11" s="74" t="s">
        <v>55</v>
      </c>
      <c r="D11" s="74" t="s">
        <v>20</v>
      </c>
      <c r="E11" s="74" t="s">
        <v>20</v>
      </c>
      <c r="F11" s="74" t="s">
        <v>20</v>
      </c>
      <c r="G11" s="74"/>
      <c r="H11" s="121" t="s">
        <v>236</v>
      </c>
      <c r="I11" s="73" t="s">
        <v>267</v>
      </c>
      <c r="J11" s="194"/>
      <c r="K11" s="287" t="s">
        <v>237</v>
      </c>
      <c r="L11" s="298">
        <v>42800</v>
      </c>
      <c r="M11" s="298">
        <v>43189</v>
      </c>
      <c r="N11" s="287" t="s">
        <v>240</v>
      </c>
      <c r="O11" s="194"/>
      <c r="P11" s="273"/>
      <c r="Q11" s="194"/>
      <c r="R11" s="141"/>
      <c r="S11" s="237"/>
      <c r="T11" s="141">
        <v>1</v>
      </c>
      <c r="U11" s="237">
        <f>AF11</f>
        <v>0</v>
      </c>
      <c r="V11" s="280"/>
      <c r="W11" s="73" t="s">
        <v>54</v>
      </c>
      <c r="X11" s="152" t="s">
        <v>21</v>
      </c>
      <c r="Y11" s="152" t="s">
        <v>20</v>
      </c>
      <c r="Z11" s="153" t="s">
        <v>20</v>
      </c>
      <c r="AA11" s="153" t="s">
        <v>20</v>
      </c>
      <c r="AB11" s="76">
        <v>3250000</v>
      </c>
      <c r="AC11" s="330">
        <f>AB11</f>
        <v>3250000</v>
      </c>
      <c r="AD11" s="330"/>
      <c r="AE11" s="330"/>
      <c r="AF11" s="76">
        <f>SUM(AG11:AO11)</f>
        <v>0</v>
      </c>
      <c r="AG11" s="153">
        <f>3250000-3250000</f>
        <v>0</v>
      </c>
      <c r="AH11" s="75"/>
      <c r="AI11" s="75"/>
      <c r="AJ11" s="75"/>
      <c r="AK11" s="75"/>
      <c r="AL11" s="75"/>
      <c r="AM11" s="153"/>
      <c r="AN11" s="153"/>
      <c r="AO11" s="153"/>
      <c r="AP11" s="162"/>
    </row>
    <row r="12" spans="1:42" s="13" customFormat="1" ht="171.75" customHeight="1" x14ac:dyDescent="0.45">
      <c r="A12" s="73" t="s">
        <v>336</v>
      </c>
      <c r="B12" s="73" t="s">
        <v>257</v>
      </c>
      <c r="C12" s="74" t="s">
        <v>55</v>
      </c>
      <c r="D12" s="74" t="s">
        <v>20</v>
      </c>
      <c r="E12" s="74" t="s">
        <v>20</v>
      </c>
      <c r="F12" s="74" t="s">
        <v>20</v>
      </c>
      <c r="G12" s="74"/>
      <c r="H12" s="121" t="s">
        <v>337</v>
      </c>
      <c r="I12" s="73" t="s">
        <v>267</v>
      </c>
      <c r="J12" s="194"/>
      <c r="K12" s="287" t="s">
        <v>237</v>
      </c>
      <c r="L12" s="298">
        <v>42800</v>
      </c>
      <c r="M12" s="298">
        <v>43189</v>
      </c>
      <c r="N12" s="287" t="s">
        <v>240</v>
      </c>
      <c r="O12" s="194"/>
      <c r="P12" s="273"/>
      <c r="Q12" s="194"/>
      <c r="R12" s="141"/>
      <c r="S12" s="237"/>
      <c r="T12" s="141">
        <v>1</v>
      </c>
      <c r="U12" s="237">
        <f>AF12</f>
        <v>3250000</v>
      </c>
      <c r="V12" s="280"/>
      <c r="W12" s="73" t="s">
        <v>21</v>
      </c>
      <c r="X12" s="152" t="s">
        <v>21</v>
      </c>
      <c r="Y12" s="152" t="s">
        <v>20</v>
      </c>
      <c r="Z12" s="153" t="s">
        <v>20</v>
      </c>
      <c r="AA12" s="153" t="s">
        <v>20</v>
      </c>
      <c r="AB12" s="76">
        <v>0</v>
      </c>
      <c r="AC12" s="330"/>
      <c r="AD12" s="330"/>
      <c r="AE12" s="330">
        <v>3250000</v>
      </c>
      <c r="AF12" s="76">
        <f>SUM(AG12:AO12)</f>
        <v>3250000</v>
      </c>
      <c r="AG12" s="153">
        <v>3250000</v>
      </c>
      <c r="AH12" s="75"/>
      <c r="AI12" s="75"/>
      <c r="AJ12" s="75"/>
      <c r="AK12" s="75"/>
      <c r="AL12" s="75"/>
      <c r="AM12" s="153"/>
      <c r="AN12" s="153"/>
      <c r="AO12" s="153"/>
      <c r="AP12" s="162"/>
    </row>
    <row r="13" spans="1:42" s="13" customFormat="1" ht="63" customHeight="1" x14ac:dyDescent="0.55000000000000004">
      <c r="A13" s="14"/>
      <c r="B13" s="14"/>
      <c r="C13" s="14"/>
      <c r="D13" s="14"/>
      <c r="E13" s="14"/>
      <c r="F13" s="14"/>
      <c r="G13" s="14"/>
      <c r="I13" s="15"/>
      <c r="J13" s="288"/>
      <c r="K13" s="288"/>
      <c r="L13" s="299"/>
      <c r="M13" s="299"/>
      <c r="N13" s="299"/>
      <c r="O13" s="288"/>
      <c r="P13" s="315">
        <f>SUM(P9)</f>
        <v>0</v>
      </c>
      <c r="Q13" s="202"/>
      <c r="R13" s="151">
        <f>SUM(R9:R12)</f>
        <v>2</v>
      </c>
      <c r="S13" s="89">
        <f t="shared" ref="S13" si="0">SUM(S9:S12)</f>
        <v>7800000</v>
      </c>
      <c r="T13" s="151">
        <f>SUM(T9:T12)</f>
        <v>2</v>
      </c>
      <c r="U13" s="89">
        <f t="shared" ref="U13" si="1">SUM(U9:U12)</f>
        <v>3250000</v>
      </c>
      <c r="V13" s="207"/>
      <c r="W13" s="201"/>
      <c r="X13" s="201"/>
      <c r="Y13" s="208"/>
      <c r="Z13" s="201"/>
      <c r="AA13" s="15"/>
      <c r="AB13" s="89">
        <f>SUM(AB9:AB12)</f>
        <v>11050000</v>
      </c>
      <c r="AC13" s="238">
        <f t="shared" ref="AC13:AF13" si="2">SUM(AC9:AC12)</f>
        <v>11050000</v>
      </c>
      <c r="AD13" s="238">
        <f t="shared" si="2"/>
        <v>0</v>
      </c>
      <c r="AE13" s="238">
        <f t="shared" si="2"/>
        <v>11050000</v>
      </c>
      <c r="AF13" s="89">
        <f t="shared" si="2"/>
        <v>11050000</v>
      </c>
      <c r="AG13" s="89">
        <f t="shared" ref="AG13:AO13" si="3">SUM(AG9:AG12)</f>
        <v>11050000</v>
      </c>
      <c r="AH13" s="89">
        <f t="shared" si="3"/>
        <v>0</v>
      </c>
      <c r="AI13" s="89">
        <f t="shared" si="3"/>
        <v>0</v>
      </c>
      <c r="AJ13" s="89">
        <f t="shared" si="3"/>
        <v>0</v>
      </c>
      <c r="AK13" s="89">
        <f t="shared" si="3"/>
        <v>0</v>
      </c>
      <c r="AL13" s="89">
        <f t="shared" si="3"/>
        <v>0</v>
      </c>
      <c r="AM13" s="89">
        <f t="shared" si="3"/>
        <v>0</v>
      </c>
      <c r="AN13" s="89">
        <f t="shared" si="3"/>
        <v>0</v>
      </c>
      <c r="AO13" s="89">
        <f t="shared" si="3"/>
        <v>0</v>
      </c>
      <c r="AP13" s="294">
        <f>SUM(AP9:AP9)</f>
        <v>0</v>
      </c>
    </row>
    <row r="14" spans="1:42" s="13" customFormat="1" ht="27" customHeight="1" x14ac:dyDescent="0.55000000000000004">
      <c r="A14" s="16"/>
      <c r="B14" s="17"/>
      <c r="C14" s="17"/>
      <c r="D14" s="17"/>
      <c r="E14" s="17"/>
      <c r="F14" s="17"/>
      <c r="G14" s="17"/>
      <c r="H14" s="18"/>
      <c r="I14" s="171"/>
      <c r="J14" s="195"/>
      <c r="K14" s="195"/>
      <c r="L14" s="300"/>
      <c r="M14" s="300"/>
      <c r="N14" s="300"/>
      <c r="O14" s="195"/>
      <c r="P14" s="211"/>
      <c r="Q14" s="195"/>
      <c r="R14" s="211"/>
      <c r="S14" s="239"/>
      <c r="T14" s="211"/>
      <c r="U14" s="239"/>
      <c r="V14" s="195"/>
      <c r="W14" s="92"/>
      <c r="X14" s="92"/>
      <c r="Y14" s="94"/>
      <c r="Z14" s="91"/>
      <c r="AA14" s="21"/>
      <c r="AB14" s="21"/>
      <c r="AC14" s="172"/>
      <c r="AD14" s="172"/>
      <c r="AE14" s="172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120"/>
    </row>
    <row r="15" spans="1:42" s="22" customFormat="1" ht="67.5" customHeight="1" x14ac:dyDescent="0.55000000000000004">
      <c r="A15" s="27"/>
      <c r="B15" s="27"/>
      <c r="C15" s="27"/>
      <c r="D15" s="27"/>
      <c r="E15" s="27"/>
      <c r="F15" s="27"/>
      <c r="G15" s="27"/>
      <c r="H15" s="28"/>
      <c r="I15" s="196"/>
      <c r="J15" s="196"/>
      <c r="K15" s="196"/>
      <c r="L15" s="301"/>
      <c r="M15" s="301"/>
      <c r="N15" s="301"/>
      <c r="O15" s="196"/>
      <c r="P15" s="167">
        <f>P13</f>
        <v>0</v>
      </c>
      <c r="Q15" s="196"/>
      <c r="R15" s="167">
        <f>R13</f>
        <v>2</v>
      </c>
      <c r="S15" s="133">
        <f t="shared" ref="S15" si="4">S13</f>
        <v>7800000</v>
      </c>
      <c r="T15" s="167">
        <f>T13</f>
        <v>2</v>
      </c>
      <c r="U15" s="133">
        <f t="shared" ref="U15" si="5">U13</f>
        <v>3250000</v>
      </c>
      <c r="V15" s="196"/>
      <c r="W15" s="337" t="s">
        <v>22</v>
      </c>
      <c r="X15" s="338"/>
      <c r="Y15" s="338"/>
      <c r="Z15" s="338"/>
      <c r="AA15" s="183"/>
      <c r="AB15" s="133">
        <f t="shared" ref="AB15:AO15" si="6">AB13</f>
        <v>11050000</v>
      </c>
      <c r="AC15" s="133">
        <f t="shared" ref="AC15:AF15" si="7">AC13</f>
        <v>11050000</v>
      </c>
      <c r="AD15" s="133">
        <f t="shared" si="7"/>
        <v>0</v>
      </c>
      <c r="AE15" s="133">
        <f t="shared" si="7"/>
        <v>11050000</v>
      </c>
      <c r="AF15" s="133">
        <f t="shared" si="7"/>
        <v>11050000</v>
      </c>
      <c r="AG15" s="133">
        <f t="shared" si="6"/>
        <v>11050000</v>
      </c>
      <c r="AH15" s="133">
        <f t="shared" si="6"/>
        <v>0</v>
      </c>
      <c r="AI15" s="133">
        <f t="shared" si="6"/>
        <v>0</v>
      </c>
      <c r="AJ15" s="133">
        <f t="shared" si="6"/>
        <v>0</v>
      </c>
      <c r="AK15" s="133">
        <f t="shared" si="6"/>
        <v>0</v>
      </c>
      <c r="AL15" s="133">
        <f t="shared" si="6"/>
        <v>0</v>
      </c>
      <c r="AM15" s="133">
        <f t="shared" si="6"/>
        <v>0</v>
      </c>
      <c r="AN15" s="133">
        <f t="shared" si="6"/>
        <v>0</v>
      </c>
      <c r="AO15" s="133">
        <f t="shared" si="6"/>
        <v>0</v>
      </c>
      <c r="AP15" s="295">
        <f t="shared" ref="AP15" si="8">AP13</f>
        <v>0</v>
      </c>
    </row>
    <row r="16" spans="1:42" s="13" customFormat="1" ht="27" customHeight="1" x14ac:dyDescent="0.55000000000000004">
      <c r="A16" s="16"/>
      <c r="B16" s="17"/>
      <c r="C16" s="17"/>
      <c r="D16" s="17"/>
      <c r="E16" s="17"/>
      <c r="F16" s="17"/>
      <c r="G16" s="17"/>
      <c r="H16" s="18"/>
      <c r="I16" s="19"/>
      <c r="J16" s="195"/>
      <c r="K16" s="195"/>
      <c r="L16" s="300"/>
      <c r="M16" s="300"/>
      <c r="N16" s="300"/>
      <c r="O16" s="195"/>
      <c r="P16" s="142"/>
      <c r="Q16" s="195"/>
      <c r="R16" s="142"/>
      <c r="S16" s="239"/>
      <c r="T16" s="142"/>
      <c r="U16" s="239"/>
      <c r="V16" s="195"/>
      <c r="W16" s="18"/>
      <c r="X16" s="18"/>
      <c r="Y16" s="62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32"/>
    </row>
    <row r="17" spans="1:42" s="96" customFormat="1" x14ac:dyDescent="0.55000000000000004">
      <c r="A17" s="16"/>
      <c r="B17" s="17"/>
      <c r="C17" s="17"/>
      <c r="D17" s="17"/>
      <c r="E17" s="17"/>
      <c r="F17" s="17"/>
      <c r="G17" s="17"/>
      <c r="H17" s="18"/>
      <c r="I17" s="19"/>
      <c r="J17" s="195"/>
      <c r="K17" s="195"/>
      <c r="L17" s="300"/>
      <c r="M17" s="300"/>
      <c r="N17" s="300"/>
      <c r="O17" s="195"/>
      <c r="P17" s="142"/>
      <c r="Q17" s="195"/>
      <c r="R17" s="142"/>
      <c r="S17" s="239"/>
      <c r="T17" s="142"/>
      <c r="U17" s="239"/>
      <c r="V17" s="195"/>
      <c r="W17" s="18"/>
      <c r="X17" s="18"/>
      <c r="Y17" s="62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32"/>
    </row>
    <row r="18" spans="1:42" s="106" customFormat="1" ht="43.5" customHeight="1" x14ac:dyDescent="0.2">
      <c r="A18" s="85" t="s">
        <v>214</v>
      </c>
      <c r="B18" s="105"/>
      <c r="C18" s="105"/>
      <c r="D18" s="105"/>
      <c r="E18" s="105"/>
      <c r="F18" s="105"/>
      <c r="G18" s="105"/>
      <c r="H18" s="105"/>
      <c r="J18" s="139"/>
      <c r="K18" s="143"/>
      <c r="L18" s="303"/>
      <c r="M18" s="303"/>
      <c r="N18" s="303"/>
      <c r="O18" s="139"/>
      <c r="P18" s="139"/>
      <c r="Q18" s="139"/>
      <c r="R18" s="139"/>
      <c r="S18" s="235"/>
      <c r="T18" s="139"/>
      <c r="U18" s="235"/>
      <c r="V18" s="139"/>
      <c r="Y18" s="111"/>
      <c r="Z18" s="60"/>
      <c r="AA18" s="60"/>
      <c r="AB18" s="60"/>
      <c r="AC18" s="107"/>
      <c r="AD18" s="107"/>
      <c r="AE18" s="107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</row>
    <row r="19" spans="1:42" s="99" customFormat="1" ht="43.5" customHeight="1" x14ac:dyDescent="0.2">
      <c r="A19" s="97" t="s">
        <v>215</v>
      </c>
      <c r="B19" s="98"/>
      <c r="C19" s="98"/>
      <c r="D19" s="98"/>
      <c r="E19" s="98"/>
      <c r="F19" s="98"/>
      <c r="G19" s="98"/>
      <c r="H19" s="98"/>
      <c r="J19" s="140"/>
      <c r="K19" s="317"/>
      <c r="L19" s="318"/>
      <c r="M19" s="318"/>
      <c r="N19" s="318"/>
      <c r="O19" s="140"/>
      <c r="P19" s="140"/>
      <c r="Q19" s="140"/>
      <c r="R19" s="140"/>
      <c r="S19" s="236"/>
      <c r="T19" s="140"/>
      <c r="U19" s="236"/>
      <c r="V19" s="140"/>
      <c r="Y19" s="112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</row>
    <row r="20" spans="1:42" s="13" customFormat="1" ht="210.75" customHeight="1" x14ac:dyDescent="0.45">
      <c r="A20" s="73" t="s">
        <v>270</v>
      </c>
      <c r="B20" s="73" t="s">
        <v>165</v>
      </c>
      <c r="C20" s="74" t="s">
        <v>75</v>
      </c>
      <c r="D20" s="74" t="s">
        <v>20</v>
      </c>
      <c r="E20" s="74" t="s">
        <v>20</v>
      </c>
      <c r="F20" s="74" t="s">
        <v>20</v>
      </c>
      <c r="G20" s="74"/>
      <c r="H20" s="121" t="s">
        <v>218</v>
      </c>
      <c r="I20" s="73" t="s">
        <v>45</v>
      </c>
      <c r="J20" s="194"/>
      <c r="K20" s="289" t="s">
        <v>201</v>
      </c>
      <c r="L20" s="308">
        <v>42800</v>
      </c>
      <c r="M20" s="308">
        <v>43189</v>
      </c>
      <c r="N20" s="308" t="s">
        <v>245</v>
      </c>
      <c r="O20" s="194"/>
      <c r="P20" s="273"/>
      <c r="Q20" s="194"/>
      <c r="R20" s="141">
        <v>1</v>
      </c>
      <c r="S20" s="237">
        <f>AF20</f>
        <v>494498.02</v>
      </c>
      <c r="T20" s="141"/>
      <c r="U20" s="237"/>
      <c r="V20" s="282"/>
      <c r="W20" s="73" t="s">
        <v>406</v>
      </c>
      <c r="X20" s="152" t="s">
        <v>21</v>
      </c>
      <c r="Y20" s="152" t="s">
        <v>20</v>
      </c>
      <c r="Z20" s="153" t="s">
        <v>20</v>
      </c>
      <c r="AA20" s="153" t="s">
        <v>20</v>
      </c>
      <c r="AB20" s="76">
        <v>494498.02</v>
      </c>
      <c r="AC20" s="330"/>
      <c r="AD20" s="330"/>
      <c r="AE20" s="330"/>
      <c r="AF20" s="76">
        <f>SUM(AG20:AO20)</f>
        <v>494498.02</v>
      </c>
      <c r="AG20" s="153">
        <v>494498.02</v>
      </c>
      <c r="AH20" s="75"/>
      <c r="AI20" s="75"/>
      <c r="AJ20" s="75"/>
      <c r="AK20" s="75"/>
      <c r="AL20" s="75"/>
      <c r="AM20" s="153"/>
      <c r="AN20" s="153"/>
      <c r="AO20" s="153"/>
      <c r="AP20" s="162"/>
    </row>
    <row r="21" spans="1:42" s="13" customFormat="1" ht="147.75" customHeight="1" x14ac:dyDescent="0.45">
      <c r="A21" s="73" t="s">
        <v>271</v>
      </c>
      <c r="B21" s="73"/>
      <c r="C21" s="74"/>
      <c r="D21" s="74" t="s">
        <v>20</v>
      </c>
      <c r="E21" s="74" t="s">
        <v>20</v>
      </c>
      <c r="F21" s="74" t="s">
        <v>20</v>
      </c>
      <c r="G21" s="74"/>
      <c r="H21" s="121" t="s">
        <v>216</v>
      </c>
      <c r="I21" s="73" t="s">
        <v>45</v>
      </c>
      <c r="J21" s="194"/>
      <c r="K21" s="289" t="s">
        <v>20</v>
      </c>
      <c r="L21" s="308" t="s">
        <v>20</v>
      </c>
      <c r="M21" s="308" t="s">
        <v>20</v>
      </c>
      <c r="N21" s="308" t="s">
        <v>20</v>
      </c>
      <c r="O21" s="194"/>
      <c r="P21" s="273"/>
      <c r="Q21" s="194"/>
      <c r="R21" s="141">
        <v>1</v>
      </c>
      <c r="S21" s="237">
        <f>AF21</f>
        <v>4999.9799999999996</v>
      </c>
      <c r="T21" s="141"/>
      <c r="U21" s="237"/>
      <c r="V21" s="282"/>
      <c r="W21" s="73" t="s">
        <v>54</v>
      </c>
      <c r="X21" s="152" t="s">
        <v>21</v>
      </c>
      <c r="Y21" s="152" t="s">
        <v>20</v>
      </c>
      <c r="Z21" s="153" t="s">
        <v>20</v>
      </c>
      <c r="AA21" s="153" t="s">
        <v>20</v>
      </c>
      <c r="AB21" s="76">
        <v>4999.9799999999996</v>
      </c>
      <c r="AC21" s="330"/>
      <c r="AD21" s="330"/>
      <c r="AE21" s="330"/>
      <c r="AF21" s="76">
        <f>SUM(AG21:AO21)</f>
        <v>4999.9799999999996</v>
      </c>
      <c r="AG21" s="153">
        <v>4999.9799999999996</v>
      </c>
      <c r="AH21" s="75"/>
      <c r="AI21" s="75"/>
      <c r="AJ21" s="75"/>
      <c r="AK21" s="75"/>
      <c r="AL21" s="75"/>
      <c r="AM21" s="153"/>
      <c r="AN21" s="153"/>
      <c r="AO21" s="153"/>
      <c r="AP21" s="162"/>
    </row>
    <row r="22" spans="1:42" s="13" customFormat="1" ht="147.75" customHeight="1" x14ac:dyDescent="0.45">
      <c r="A22" s="73" t="s">
        <v>272</v>
      </c>
      <c r="B22" s="73"/>
      <c r="C22" s="74"/>
      <c r="D22" s="74" t="s">
        <v>20</v>
      </c>
      <c r="E22" s="74" t="s">
        <v>20</v>
      </c>
      <c r="F22" s="74" t="s">
        <v>20</v>
      </c>
      <c r="G22" s="74"/>
      <c r="H22" s="121" t="s">
        <v>217</v>
      </c>
      <c r="I22" s="73" t="s">
        <v>45</v>
      </c>
      <c r="J22" s="194"/>
      <c r="K22" s="289" t="s">
        <v>20</v>
      </c>
      <c r="L22" s="308" t="s">
        <v>20</v>
      </c>
      <c r="M22" s="308" t="s">
        <v>20</v>
      </c>
      <c r="N22" s="308" t="s">
        <v>20</v>
      </c>
      <c r="O22" s="194"/>
      <c r="P22" s="273"/>
      <c r="Q22" s="194"/>
      <c r="R22" s="141">
        <v>1</v>
      </c>
      <c r="S22" s="237">
        <f>AF22</f>
        <v>500</v>
      </c>
      <c r="T22" s="141"/>
      <c r="U22" s="237"/>
      <c r="V22" s="282"/>
      <c r="W22" s="73" t="s">
        <v>54</v>
      </c>
      <c r="X22" s="152" t="s">
        <v>21</v>
      </c>
      <c r="Y22" s="152" t="s">
        <v>20</v>
      </c>
      <c r="Z22" s="153" t="s">
        <v>20</v>
      </c>
      <c r="AA22" s="153" t="s">
        <v>20</v>
      </c>
      <c r="AB22" s="76">
        <v>500</v>
      </c>
      <c r="AC22" s="330"/>
      <c r="AD22" s="330"/>
      <c r="AE22" s="330"/>
      <c r="AF22" s="76">
        <f>SUM(AG22:AO22)</f>
        <v>500</v>
      </c>
      <c r="AG22" s="153">
        <v>500</v>
      </c>
      <c r="AH22" s="75"/>
      <c r="AI22" s="75"/>
      <c r="AJ22" s="75"/>
      <c r="AK22" s="75"/>
      <c r="AL22" s="75"/>
      <c r="AM22" s="153"/>
      <c r="AN22" s="153"/>
      <c r="AO22" s="153"/>
      <c r="AP22" s="162"/>
    </row>
    <row r="23" spans="1:42" s="13" customFormat="1" ht="63" customHeight="1" x14ac:dyDescent="0.55000000000000004">
      <c r="A23" s="14"/>
      <c r="B23" s="14"/>
      <c r="C23" s="14"/>
      <c r="D23" s="14"/>
      <c r="E23" s="14"/>
      <c r="F23" s="14"/>
      <c r="G23" s="14"/>
      <c r="I23" s="15"/>
      <c r="J23" s="288"/>
      <c r="K23" s="288"/>
      <c r="L23" s="299"/>
      <c r="M23" s="299"/>
      <c r="N23" s="299"/>
      <c r="O23" s="288"/>
      <c r="P23" s="315">
        <f>SUM(P20)</f>
        <v>0</v>
      </c>
      <c r="Q23" s="202"/>
      <c r="R23" s="151">
        <f>SUM(R20:R22)</f>
        <v>3</v>
      </c>
      <c r="S23" s="89">
        <f>SUM(S20:S22)</f>
        <v>499998</v>
      </c>
      <c r="T23" s="151">
        <f>SUM(T20:T22)</f>
        <v>0</v>
      </c>
      <c r="U23" s="89">
        <f>SUM(U20:U22)</f>
        <v>0</v>
      </c>
      <c r="V23" s="207"/>
      <c r="W23" s="201"/>
      <c r="X23" s="201"/>
      <c r="Y23" s="208"/>
      <c r="Z23" s="201"/>
      <c r="AA23" s="15"/>
      <c r="AB23" s="89">
        <f>SUM(AB20:AB22)</f>
        <v>499998</v>
      </c>
      <c r="AC23" s="238">
        <f t="shared" ref="AC23:AE23" si="9">SUM(AC20:AC22)</f>
        <v>0</v>
      </c>
      <c r="AD23" s="238">
        <f t="shared" si="9"/>
        <v>0</v>
      </c>
      <c r="AE23" s="238">
        <f t="shared" si="9"/>
        <v>0</v>
      </c>
      <c r="AF23" s="89">
        <f>SUM(AF20:AF22)</f>
        <v>499998</v>
      </c>
      <c r="AG23" s="89">
        <f t="shared" ref="AG23:AO23" si="10">SUM(AG20:AG22)</f>
        <v>499998</v>
      </c>
      <c r="AH23" s="89">
        <f t="shared" si="10"/>
        <v>0</v>
      </c>
      <c r="AI23" s="89">
        <f t="shared" si="10"/>
        <v>0</v>
      </c>
      <c r="AJ23" s="89">
        <f t="shared" si="10"/>
        <v>0</v>
      </c>
      <c r="AK23" s="89">
        <f t="shared" si="10"/>
        <v>0</v>
      </c>
      <c r="AL23" s="89">
        <f t="shared" si="10"/>
        <v>0</v>
      </c>
      <c r="AM23" s="89">
        <f t="shared" si="10"/>
        <v>0</v>
      </c>
      <c r="AN23" s="89">
        <f t="shared" si="10"/>
        <v>0</v>
      </c>
      <c r="AO23" s="89">
        <f t="shared" si="10"/>
        <v>0</v>
      </c>
      <c r="AP23" s="294">
        <f t="shared" ref="AP23" si="11">SUM(AP20:AP20)</f>
        <v>0</v>
      </c>
    </row>
    <row r="24" spans="1:42" s="13" customFormat="1" ht="27" customHeight="1" x14ac:dyDescent="0.55000000000000004">
      <c r="A24" s="16"/>
      <c r="B24" s="17"/>
      <c r="C24" s="17"/>
      <c r="D24" s="17"/>
      <c r="E24" s="17"/>
      <c r="F24" s="17"/>
      <c r="G24" s="17"/>
      <c r="H24" s="18"/>
      <c r="I24" s="171"/>
      <c r="J24" s="195"/>
      <c r="K24" s="195"/>
      <c r="L24" s="300"/>
      <c r="M24" s="300"/>
      <c r="N24" s="300"/>
      <c r="O24" s="195"/>
      <c r="P24" s="211"/>
      <c r="Q24" s="195"/>
      <c r="R24" s="211"/>
      <c r="S24" s="239"/>
      <c r="T24" s="211"/>
      <c r="U24" s="239"/>
      <c r="V24" s="195"/>
      <c r="W24" s="92"/>
      <c r="X24" s="92"/>
      <c r="Y24" s="94"/>
      <c r="Z24" s="91"/>
      <c r="AA24" s="21"/>
      <c r="AB24" s="21"/>
      <c r="AC24" s="172"/>
      <c r="AD24" s="172"/>
      <c r="AE24" s="172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120"/>
    </row>
    <row r="25" spans="1:42" s="22" customFormat="1" ht="67.5" customHeight="1" x14ac:dyDescent="0.55000000000000004">
      <c r="A25" s="27"/>
      <c r="B25" s="27"/>
      <c r="C25" s="27"/>
      <c r="D25" s="27"/>
      <c r="E25" s="27"/>
      <c r="F25" s="27"/>
      <c r="G25" s="27"/>
      <c r="H25" s="28"/>
      <c r="I25" s="196"/>
      <c r="J25" s="196"/>
      <c r="K25" s="196"/>
      <c r="L25" s="301"/>
      <c r="M25" s="301"/>
      <c r="N25" s="301"/>
      <c r="O25" s="196"/>
      <c r="P25" s="167">
        <f>P23</f>
        <v>0</v>
      </c>
      <c r="Q25" s="196"/>
      <c r="R25" s="167">
        <f>R23</f>
        <v>3</v>
      </c>
      <c r="S25" s="133">
        <f t="shared" ref="S25" si="12">S23</f>
        <v>499998</v>
      </c>
      <c r="T25" s="167">
        <f>T23</f>
        <v>0</v>
      </c>
      <c r="U25" s="133">
        <f t="shared" ref="U25" si="13">U23</f>
        <v>0</v>
      </c>
      <c r="V25" s="196"/>
      <c r="W25" s="337" t="s">
        <v>22</v>
      </c>
      <c r="X25" s="338"/>
      <c r="Y25" s="338"/>
      <c r="Z25" s="338"/>
      <c r="AA25" s="183"/>
      <c r="AB25" s="133">
        <f t="shared" ref="AB25:AE25" si="14">AB23</f>
        <v>499998</v>
      </c>
      <c r="AC25" s="133">
        <f t="shared" si="14"/>
        <v>0</v>
      </c>
      <c r="AD25" s="133">
        <f t="shared" si="14"/>
        <v>0</v>
      </c>
      <c r="AE25" s="133">
        <f t="shared" si="14"/>
        <v>0</v>
      </c>
      <c r="AF25" s="133">
        <f>AF23</f>
        <v>499998</v>
      </c>
      <c r="AG25" s="133">
        <f t="shared" ref="AG25:AO25" si="15">AG23</f>
        <v>499998</v>
      </c>
      <c r="AH25" s="133">
        <f t="shared" si="15"/>
        <v>0</v>
      </c>
      <c r="AI25" s="133">
        <f t="shared" si="15"/>
        <v>0</v>
      </c>
      <c r="AJ25" s="133">
        <f t="shared" si="15"/>
        <v>0</v>
      </c>
      <c r="AK25" s="133">
        <f t="shared" si="15"/>
        <v>0</v>
      </c>
      <c r="AL25" s="133">
        <f t="shared" si="15"/>
        <v>0</v>
      </c>
      <c r="AM25" s="133">
        <f t="shared" si="15"/>
        <v>0</v>
      </c>
      <c r="AN25" s="133">
        <f t="shared" si="15"/>
        <v>0</v>
      </c>
      <c r="AO25" s="133">
        <f t="shared" si="15"/>
        <v>0</v>
      </c>
      <c r="AP25" s="295">
        <f t="shared" ref="AP25" si="16">AP23</f>
        <v>0</v>
      </c>
    </row>
    <row r="26" spans="1:42" s="13" customFormat="1" ht="27" customHeight="1" x14ac:dyDescent="0.55000000000000004">
      <c r="A26" s="16"/>
      <c r="B26" s="17"/>
      <c r="C26" s="17"/>
      <c r="D26" s="17"/>
      <c r="E26" s="17"/>
      <c r="F26" s="17"/>
      <c r="G26" s="17"/>
      <c r="H26" s="18"/>
      <c r="I26" s="19"/>
      <c r="J26" s="195"/>
      <c r="K26" s="195"/>
      <c r="L26" s="300"/>
      <c r="M26" s="300"/>
      <c r="N26" s="300"/>
      <c r="O26" s="195"/>
      <c r="P26" s="142"/>
      <c r="Q26" s="195"/>
      <c r="R26" s="142"/>
      <c r="S26" s="239"/>
      <c r="T26" s="142"/>
      <c r="U26" s="239"/>
      <c r="V26" s="195"/>
      <c r="W26" s="18"/>
      <c r="X26" s="18"/>
      <c r="Y26" s="62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32"/>
    </row>
    <row r="27" spans="1:42" s="96" customFormat="1" x14ac:dyDescent="0.55000000000000004">
      <c r="A27" s="16"/>
      <c r="B27" s="17"/>
      <c r="C27" s="17"/>
      <c r="D27" s="17"/>
      <c r="E27" s="17"/>
      <c r="F27" s="17"/>
      <c r="G27" s="17"/>
      <c r="H27" s="18"/>
      <c r="I27" s="19"/>
      <c r="J27" s="195"/>
      <c r="K27" s="195"/>
      <c r="L27" s="300"/>
      <c r="M27" s="300"/>
      <c r="N27" s="300"/>
      <c r="O27" s="195"/>
      <c r="P27" s="142"/>
      <c r="Q27" s="195"/>
      <c r="R27" s="142"/>
      <c r="S27" s="239"/>
      <c r="T27" s="142"/>
      <c r="U27" s="239"/>
      <c r="V27" s="195"/>
      <c r="W27" s="18"/>
      <c r="X27" s="18"/>
      <c r="Y27" s="62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32"/>
    </row>
    <row r="28" spans="1:42" s="106" customFormat="1" ht="43.5" customHeight="1" x14ac:dyDescent="0.2">
      <c r="A28" s="85" t="s">
        <v>79</v>
      </c>
      <c r="B28" s="105"/>
      <c r="C28" s="105"/>
      <c r="D28" s="105"/>
      <c r="E28" s="105"/>
      <c r="F28" s="105"/>
      <c r="G28" s="105"/>
      <c r="H28" s="105"/>
      <c r="J28" s="139"/>
      <c r="K28" s="143"/>
      <c r="L28" s="303"/>
      <c r="M28" s="303"/>
      <c r="N28" s="303"/>
      <c r="O28" s="139"/>
      <c r="P28" s="139"/>
      <c r="Q28" s="139"/>
      <c r="R28" s="139"/>
      <c r="S28" s="235"/>
      <c r="T28" s="139"/>
      <c r="U28" s="235"/>
      <c r="V28" s="139"/>
      <c r="Y28" s="111"/>
      <c r="Z28" s="60"/>
      <c r="AA28" s="60"/>
      <c r="AB28" s="60"/>
      <c r="AC28" s="107"/>
      <c r="AD28" s="107"/>
      <c r="AE28" s="107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</row>
    <row r="29" spans="1:42" s="13" customFormat="1" ht="147.75" customHeight="1" x14ac:dyDescent="0.45">
      <c r="A29" s="73" t="s">
        <v>273</v>
      </c>
      <c r="B29" s="73"/>
      <c r="C29" s="74"/>
      <c r="D29" s="74" t="s">
        <v>20</v>
      </c>
      <c r="E29" s="74" t="s">
        <v>20</v>
      </c>
      <c r="F29" s="74" t="s">
        <v>20</v>
      </c>
      <c r="G29" s="74"/>
      <c r="H29" s="121" t="s">
        <v>47</v>
      </c>
      <c r="I29" s="73" t="s">
        <v>42</v>
      </c>
      <c r="J29" s="194"/>
      <c r="K29" s="287" t="s">
        <v>200</v>
      </c>
      <c r="L29" s="298"/>
      <c r="M29" s="298"/>
      <c r="N29" s="298"/>
      <c r="O29" s="194"/>
      <c r="P29" s="273"/>
      <c r="Q29" s="194"/>
      <c r="R29" s="141"/>
      <c r="S29" s="237"/>
      <c r="T29" s="141">
        <v>1</v>
      </c>
      <c r="U29" s="237">
        <f>AF29</f>
        <v>39711367.75</v>
      </c>
      <c r="V29" s="282"/>
      <c r="W29" s="73" t="s">
        <v>54</v>
      </c>
      <c r="X29" s="152" t="s">
        <v>21</v>
      </c>
      <c r="Y29" s="152" t="s">
        <v>20</v>
      </c>
      <c r="Z29" s="153" t="s">
        <v>20</v>
      </c>
      <c r="AA29" s="153" t="s">
        <v>20</v>
      </c>
      <c r="AB29" s="76">
        <v>39711367.75</v>
      </c>
      <c r="AC29" s="330"/>
      <c r="AD29" s="330"/>
      <c r="AE29" s="330"/>
      <c r="AF29" s="76">
        <f>SUM(AG29:AO29)</f>
        <v>39711367.75</v>
      </c>
      <c r="AG29" s="153">
        <v>39711367.75</v>
      </c>
      <c r="AH29" s="75"/>
      <c r="AI29" s="75"/>
      <c r="AJ29" s="75"/>
      <c r="AK29" s="75"/>
      <c r="AL29" s="75"/>
      <c r="AM29" s="153"/>
      <c r="AN29" s="153"/>
      <c r="AO29" s="153"/>
      <c r="AP29" s="162"/>
    </row>
    <row r="30" spans="1:42" s="13" customFormat="1" ht="63" customHeight="1" x14ac:dyDescent="0.55000000000000004">
      <c r="A30" s="14"/>
      <c r="B30" s="14"/>
      <c r="C30" s="14"/>
      <c r="D30" s="14"/>
      <c r="E30" s="14"/>
      <c r="F30" s="14"/>
      <c r="G30" s="14"/>
      <c r="I30" s="15"/>
      <c r="J30" s="288"/>
      <c r="K30" s="288"/>
      <c r="L30" s="299"/>
      <c r="M30" s="299"/>
      <c r="N30" s="299"/>
      <c r="O30" s="288"/>
      <c r="P30" s="315">
        <f>SUM(P29)</f>
        <v>0</v>
      </c>
      <c r="Q30" s="202"/>
      <c r="R30" s="151">
        <f>SUM(R29)</f>
        <v>0</v>
      </c>
      <c r="S30" s="238">
        <f>SUM(S29)</f>
        <v>0</v>
      </c>
      <c r="T30" s="151">
        <f>SUM(T29)</f>
        <v>1</v>
      </c>
      <c r="U30" s="238">
        <f>SUM(U29)</f>
        <v>39711367.75</v>
      </c>
      <c r="V30" s="207"/>
      <c r="W30" s="201"/>
      <c r="X30" s="201"/>
      <c r="Y30" s="208"/>
      <c r="Z30" s="201"/>
      <c r="AA30" s="15"/>
      <c r="AB30" s="89">
        <f t="shared" ref="AB30:AE30" si="17">SUM(AB29:AB29)</f>
        <v>39711367.75</v>
      </c>
      <c r="AC30" s="238">
        <f t="shared" si="17"/>
        <v>0</v>
      </c>
      <c r="AD30" s="238">
        <f t="shared" si="17"/>
        <v>0</v>
      </c>
      <c r="AE30" s="238">
        <f t="shared" si="17"/>
        <v>0</v>
      </c>
      <c r="AF30" s="89">
        <f>SUM(AF29:AF29)</f>
        <v>39711367.75</v>
      </c>
      <c r="AG30" s="89">
        <f t="shared" ref="AG30:AO30" si="18">SUM(AG29:AG29)</f>
        <v>39711367.75</v>
      </c>
      <c r="AH30" s="89">
        <f t="shared" si="18"/>
        <v>0</v>
      </c>
      <c r="AI30" s="89">
        <f t="shared" si="18"/>
        <v>0</v>
      </c>
      <c r="AJ30" s="89">
        <f t="shared" si="18"/>
        <v>0</v>
      </c>
      <c r="AK30" s="89">
        <f t="shared" si="18"/>
        <v>0</v>
      </c>
      <c r="AL30" s="89">
        <f t="shared" si="18"/>
        <v>0</v>
      </c>
      <c r="AM30" s="89">
        <f t="shared" si="18"/>
        <v>0</v>
      </c>
      <c r="AN30" s="89">
        <f t="shared" si="18"/>
        <v>0</v>
      </c>
      <c r="AO30" s="89">
        <f t="shared" si="18"/>
        <v>0</v>
      </c>
      <c r="AP30" s="294">
        <f t="shared" ref="AP30" si="19">SUM(AP29:AP29)</f>
        <v>0</v>
      </c>
    </row>
    <row r="31" spans="1:42" s="13" customFormat="1" ht="27" customHeight="1" x14ac:dyDescent="0.55000000000000004">
      <c r="A31" s="16"/>
      <c r="B31" s="17"/>
      <c r="C31" s="17"/>
      <c r="D31" s="17"/>
      <c r="E31" s="17"/>
      <c r="F31" s="17"/>
      <c r="G31" s="17"/>
      <c r="H31" s="18"/>
      <c r="I31" s="171"/>
      <c r="J31" s="195"/>
      <c r="K31" s="195"/>
      <c r="L31" s="300"/>
      <c r="M31" s="300"/>
      <c r="N31" s="300"/>
      <c r="O31" s="195"/>
      <c r="P31" s="211"/>
      <c r="Q31" s="195"/>
      <c r="R31" s="211"/>
      <c r="S31" s="239"/>
      <c r="T31" s="211"/>
      <c r="U31" s="239"/>
      <c r="V31" s="195"/>
      <c r="W31" s="92"/>
      <c r="X31" s="92"/>
      <c r="Y31" s="94"/>
      <c r="Z31" s="91"/>
      <c r="AA31" s="21"/>
      <c r="AB31" s="21"/>
      <c r="AC31" s="172"/>
      <c r="AD31" s="172"/>
      <c r="AE31" s="172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120"/>
    </row>
    <row r="32" spans="1:42" s="22" customFormat="1" ht="67.5" customHeight="1" x14ac:dyDescent="0.55000000000000004">
      <c r="A32" s="27"/>
      <c r="B32" s="27"/>
      <c r="C32" s="27"/>
      <c r="D32" s="27"/>
      <c r="E32" s="27"/>
      <c r="F32" s="27"/>
      <c r="G32" s="27"/>
      <c r="H32" s="28"/>
      <c r="I32" s="196"/>
      <c r="J32" s="196"/>
      <c r="K32" s="196"/>
      <c r="L32" s="301"/>
      <c r="M32" s="301"/>
      <c r="N32" s="301"/>
      <c r="O32" s="196"/>
      <c r="P32" s="167">
        <f>P30</f>
        <v>0</v>
      </c>
      <c r="Q32" s="196"/>
      <c r="R32" s="167">
        <f>R30</f>
        <v>0</v>
      </c>
      <c r="S32" s="133">
        <f t="shared" ref="S32" si="20">S30</f>
        <v>0</v>
      </c>
      <c r="T32" s="167">
        <f>T30</f>
        <v>1</v>
      </c>
      <c r="U32" s="133">
        <f t="shared" ref="U32" si="21">U30</f>
        <v>39711367.75</v>
      </c>
      <c r="V32" s="196"/>
      <c r="W32" s="337" t="s">
        <v>22</v>
      </c>
      <c r="X32" s="338"/>
      <c r="Y32" s="338"/>
      <c r="Z32" s="338"/>
      <c r="AA32" s="183"/>
      <c r="AB32" s="133">
        <f t="shared" ref="AB32:AE32" si="22">AB30</f>
        <v>39711367.75</v>
      </c>
      <c r="AC32" s="133">
        <f t="shared" si="22"/>
        <v>0</v>
      </c>
      <c r="AD32" s="133">
        <f t="shared" si="22"/>
        <v>0</v>
      </c>
      <c r="AE32" s="133">
        <f t="shared" si="22"/>
        <v>0</v>
      </c>
      <c r="AF32" s="133">
        <f>AF30</f>
        <v>39711367.75</v>
      </c>
      <c r="AG32" s="133">
        <f t="shared" ref="AG32:AO32" si="23">AG30</f>
        <v>39711367.75</v>
      </c>
      <c r="AH32" s="133">
        <f t="shared" si="23"/>
        <v>0</v>
      </c>
      <c r="AI32" s="133">
        <f t="shared" si="23"/>
        <v>0</v>
      </c>
      <c r="AJ32" s="133">
        <f t="shared" si="23"/>
        <v>0</v>
      </c>
      <c r="AK32" s="133">
        <f t="shared" si="23"/>
        <v>0</v>
      </c>
      <c r="AL32" s="133">
        <f t="shared" si="23"/>
        <v>0</v>
      </c>
      <c r="AM32" s="133">
        <f t="shared" si="23"/>
        <v>0</v>
      </c>
      <c r="AN32" s="133">
        <f t="shared" si="23"/>
        <v>0</v>
      </c>
      <c r="AO32" s="133">
        <f t="shared" si="23"/>
        <v>0</v>
      </c>
      <c r="AP32" s="295">
        <f t="shared" ref="AP32" si="24">AP30</f>
        <v>0</v>
      </c>
    </row>
    <row r="33" spans="1:42" s="13" customFormat="1" ht="27" customHeight="1" x14ac:dyDescent="0.55000000000000004">
      <c r="A33" s="16"/>
      <c r="B33" s="17"/>
      <c r="C33" s="17"/>
      <c r="D33" s="17"/>
      <c r="E33" s="17"/>
      <c r="F33" s="17"/>
      <c r="G33" s="17"/>
      <c r="H33" s="18"/>
      <c r="I33" s="19"/>
      <c r="J33" s="195"/>
      <c r="K33" s="195"/>
      <c r="L33" s="300"/>
      <c r="M33" s="300"/>
      <c r="N33" s="300"/>
      <c r="O33" s="195"/>
      <c r="P33" s="142"/>
      <c r="Q33" s="195"/>
      <c r="R33" s="142"/>
      <c r="S33" s="239"/>
      <c r="T33" s="142"/>
      <c r="U33" s="239"/>
      <c r="V33" s="195"/>
      <c r="W33" s="18"/>
      <c r="X33" s="18"/>
      <c r="Y33" s="62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32"/>
    </row>
    <row r="34" spans="1:42" s="96" customFormat="1" x14ac:dyDescent="0.55000000000000004">
      <c r="A34" s="16"/>
      <c r="B34" s="17"/>
      <c r="C34" s="17"/>
      <c r="D34" s="17"/>
      <c r="E34" s="17"/>
      <c r="F34" s="17"/>
      <c r="G34" s="17"/>
      <c r="H34" s="18"/>
      <c r="I34" s="19"/>
      <c r="J34" s="195"/>
      <c r="K34" s="195"/>
      <c r="L34" s="300"/>
      <c r="M34" s="300"/>
      <c r="N34" s="300"/>
      <c r="O34" s="195"/>
      <c r="P34" s="142"/>
      <c r="Q34" s="195"/>
      <c r="R34" s="142"/>
      <c r="S34" s="239"/>
      <c r="T34" s="142"/>
      <c r="U34" s="239"/>
      <c r="V34" s="195"/>
      <c r="W34" s="18"/>
      <c r="X34" s="18"/>
      <c r="Y34" s="62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32"/>
    </row>
    <row r="35" spans="1:42" s="106" customFormat="1" ht="43.5" hidden="1" customHeight="1" x14ac:dyDescent="0.2">
      <c r="A35" s="85" t="s">
        <v>46</v>
      </c>
      <c r="B35" s="105"/>
      <c r="C35" s="105"/>
      <c r="D35" s="105"/>
      <c r="E35" s="105"/>
      <c r="F35" s="105"/>
      <c r="G35" s="105"/>
      <c r="H35" s="105"/>
      <c r="J35" s="139"/>
      <c r="K35" s="143"/>
      <c r="L35" s="303"/>
      <c r="M35" s="303"/>
      <c r="N35" s="303"/>
      <c r="O35" s="139"/>
      <c r="P35" s="139"/>
      <c r="Q35" s="139"/>
      <c r="R35" s="139"/>
      <c r="S35" s="235"/>
      <c r="T35" s="139"/>
      <c r="U35" s="235"/>
      <c r="V35" s="139"/>
      <c r="Y35" s="111"/>
      <c r="Z35" s="60"/>
      <c r="AA35" s="60"/>
      <c r="AB35" s="60"/>
      <c r="AC35" s="107"/>
      <c r="AD35" s="107"/>
      <c r="AE35" s="107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s="99" customFormat="1" ht="43.5" hidden="1" customHeight="1" x14ac:dyDescent="0.2">
      <c r="A36" s="97"/>
      <c r="B36" s="98"/>
      <c r="C36" s="98"/>
      <c r="D36" s="98"/>
      <c r="E36" s="98"/>
      <c r="F36" s="98"/>
      <c r="G36" s="98"/>
      <c r="H36" s="98"/>
      <c r="J36" s="140"/>
      <c r="K36" s="317"/>
      <c r="L36" s="318"/>
      <c r="M36" s="318"/>
      <c r="N36" s="318"/>
      <c r="O36" s="140"/>
      <c r="P36" s="140"/>
      <c r="Q36" s="140"/>
      <c r="R36" s="140"/>
      <c r="S36" s="236"/>
      <c r="T36" s="140"/>
      <c r="U36" s="236"/>
      <c r="V36" s="140"/>
      <c r="Y36" s="112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</row>
    <row r="37" spans="1:42" s="13" customFormat="1" ht="141" hidden="1" customHeight="1" x14ac:dyDescent="0.45">
      <c r="A37" s="73"/>
      <c r="B37" s="73"/>
      <c r="C37" s="74"/>
      <c r="D37" s="74"/>
      <c r="E37" s="74"/>
      <c r="F37" s="74"/>
      <c r="G37" s="74"/>
      <c r="H37" s="227"/>
      <c r="I37" s="228"/>
      <c r="J37" s="194"/>
      <c r="K37" s="194"/>
      <c r="L37" s="302"/>
      <c r="M37" s="302"/>
      <c r="N37" s="302"/>
      <c r="O37" s="194"/>
      <c r="P37" s="141"/>
      <c r="Q37" s="194"/>
      <c r="R37" s="214"/>
      <c r="S37" s="237"/>
      <c r="T37" s="214"/>
      <c r="U37" s="237"/>
      <c r="V37" s="194"/>
      <c r="W37" s="73"/>
      <c r="X37" s="73"/>
      <c r="Y37" s="152"/>
      <c r="Z37" s="153"/>
      <c r="AA37" s="153"/>
      <c r="AB37" s="76"/>
      <c r="AC37" s="330"/>
      <c r="AD37" s="330"/>
      <c r="AE37" s="330"/>
      <c r="AF37" s="76"/>
      <c r="AG37" s="153"/>
      <c r="AH37" s="75"/>
      <c r="AI37" s="75"/>
      <c r="AJ37" s="75"/>
      <c r="AK37" s="75"/>
      <c r="AL37" s="75"/>
      <c r="AM37" s="153"/>
      <c r="AN37" s="153"/>
      <c r="AO37" s="153"/>
      <c r="AP37" s="162"/>
    </row>
    <row r="38" spans="1:42" s="13" customFormat="1" ht="63" hidden="1" customHeight="1" x14ac:dyDescent="0.55000000000000004">
      <c r="A38" s="14"/>
      <c r="B38" s="14"/>
      <c r="C38" s="14"/>
      <c r="D38" s="14"/>
      <c r="E38" s="14"/>
      <c r="F38" s="14"/>
      <c r="G38" s="14"/>
      <c r="I38" s="15"/>
      <c r="J38" s="202"/>
      <c r="K38" s="288"/>
      <c r="L38" s="299"/>
      <c r="M38" s="299"/>
      <c r="N38" s="299"/>
      <c r="O38" s="202"/>
      <c r="P38" s="182">
        <f>SUM(P37)</f>
        <v>0</v>
      </c>
      <c r="Q38" s="202"/>
      <c r="R38" s="150">
        <f>SUM(R37)</f>
        <v>0</v>
      </c>
      <c r="S38" s="238">
        <f t="shared" ref="S38" si="25">SUM(S37)</f>
        <v>0</v>
      </c>
      <c r="T38" s="150">
        <f>SUM(T37)</f>
        <v>0</v>
      </c>
      <c r="U38" s="238">
        <f t="shared" ref="U38" si="26">SUM(U37)</f>
        <v>0</v>
      </c>
      <c r="V38" s="207"/>
      <c r="W38" s="201"/>
      <c r="X38" s="201"/>
      <c r="Y38" s="208"/>
      <c r="Z38" s="201"/>
      <c r="AA38" s="15"/>
      <c r="AB38" s="89">
        <f t="shared" ref="AB38:AO38" si="27">SUM(AB37)</f>
        <v>0</v>
      </c>
      <c r="AC38" s="238"/>
      <c r="AD38" s="238"/>
      <c r="AE38" s="238"/>
      <c r="AF38" s="89"/>
      <c r="AG38" s="89">
        <f t="shared" si="27"/>
        <v>0</v>
      </c>
      <c r="AH38" s="89">
        <f t="shared" si="27"/>
        <v>0</v>
      </c>
      <c r="AI38" s="89">
        <f t="shared" si="27"/>
        <v>0</v>
      </c>
      <c r="AJ38" s="89">
        <f t="shared" si="27"/>
        <v>0</v>
      </c>
      <c r="AK38" s="89">
        <f t="shared" si="27"/>
        <v>0</v>
      </c>
      <c r="AL38" s="89">
        <f t="shared" si="27"/>
        <v>0</v>
      </c>
      <c r="AM38" s="89">
        <f t="shared" si="27"/>
        <v>0</v>
      </c>
      <c r="AN38" s="89">
        <f t="shared" si="27"/>
        <v>0</v>
      </c>
      <c r="AO38" s="89">
        <f t="shared" si="27"/>
        <v>0</v>
      </c>
      <c r="AP38" s="163">
        <f t="shared" ref="AP38" si="28">SUM(AP37)</f>
        <v>0</v>
      </c>
    </row>
    <row r="39" spans="1:42" s="96" customFormat="1" ht="24" hidden="1" customHeight="1" x14ac:dyDescent="0.55000000000000004">
      <c r="A39" s="90"/>
      <c r="B39" s="91"/>
      <c r="C39" s="91"/>
      <c r="D39" s="91"/>
      <c r="E39" s="91"/>
      <c r="F39" s="91"/>
      <c r="G39" s="91"/>
      <c r="H39" s="18"/>
      <c r="I39" s="171"/>
      <c r="J39" s="195"/>
      <c r="K39" s="143"/>
      <c r="L39" s="303"/>
      <c r="M39" s="303"/>
      <c r="N39" s="303"/>
      <c r="O39" s="195"/>
      <c r="P39" s="209"/>
      <c r="Q39" s="195"/>
      <c r="R39" s="215"/>
      <c r="S39" s="240"/>
      <c r="T39" s="215"/>
      <c r="U39" s="240"/>
      <c r="V39" s="143"/>
      <c r="W39" s="92"/>
      <c r="X39" s="92"/>
      <c r="Y39" s="94"/>
      <c r="Z39" s="91"/>
      <c r="AA39" s="92"/>
      <c r="AB39" s="91"/>
      <c r="AC39" s="331"/>
      <c r="AD39" s="331"/>
      <c r="AE39" s="33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</row>
    <row r="40" spans="1:42" s="22" customFormat="1" ht="67.5" hidden="1" customHeight="1" x14ac:dyDescent="0.55000000000000004">
      <c r="A40" s="27"/>
      <c r="B40" s="27"/>
      <c r="C40" s="27"/>
      <c r="D40" s="27"/>
      <c r="E40" s="27"/>
      <c r="F40" s="27"/>
      <c r="G40" s="27"/>
      <c r="H40" s="28"/>
      <c r="I40" s="196"/>
      <c r="J40" s="196"/>
      <c r="K40" s="196"/>
      <c r="L40" s="301"/>
      <c r="M40" s="301"/>
      <c r="N40" s="301"/>
      <c r="O40" s="196"/>
      <c r="P40" s="196"/>
      <c r="Q40" s="196"/>
      <c r="R40" s="212">
        <f>R38+R34+R31</f>
        <v>0</v>
      </c>
      <c r="S40" s="133">
        <f t="shared" ref="S40" si="29">S38</f>
        <v>0</v>
      </c>
      <c r="T40" s="212">
        <f>T38+T34+T31</f>
        <v>0</v>
      </c>
      <c r="U40" s="133">
        <f t="shared" ref="U40" si="30">U38</f>
        <v>0</v>
      </c>
      <c r="V40" s="196"/>
      <c r="W40" s="337" t="s">
        <v>22</v>
      </c>
      <c r="X40" s="338"/>
      <c r="Y40" s="338"/>
      <c r="Z40" s="338"/>
      <c r="AA40" s="183"/>
      <c r="AB40" s="133">
        <f t="shared" ref="AB40:AO40" si="31">AB38</f>
        <v>0</v>
      </c>
      <c r="AC40" s="133"/>
      <c r="AD40" s="133"/>
      <c r="AE40" s="133"/>
      <c r="AF40" s="133"/>
      <c r="AG40" s="133">
        <f t="shared" si="31"/>
        <v>0</v>
      </c>
      <c r="AH40" s="133">
        <f t="shared" si="31"/>
        <v>0</v>
      </c>
      <c r="AI40" s="133">
        <f t="shared" si="31"/>
        <v>0</v>
      </c>
      <c r="AJ40" s="133">
        <f t="shared" si="31"/>
        <v>0</v>
      </c>
      <c r="AK40" s="133">
        <f t="shared" si="31"/>
        <v>0</v>
      </c>
      <c r="AL40" s="133">
        <f t="shared" si="31"/>
        <v>0</v>
      </c>
      <c r="AM40" s="133">
        <f t="shared" si="31"/>
        <v>0</v>
      </c>
      <c r="AN40" s="133">
        <f t="shared" si="31"/>
        <v>0</v>
      </c>
      <c r="AO40" s="133">
        <f t="shared" si="31"/>
        <v>0</v>
      </c>
      <c r="AP40" s="162">
        <f t="shared" ref="AP40" si="32">AP38</f>
        <v>0</v>
      </c>
    </row>
    <row r="41" spans="1:42" s="13" customFormat="1" ht="27" hidden="1" customHeight="1" x14ac:dyDescent="0.55000000000000004">
      <c r="A41" s="16"/>
      <c r="B41" s="17"/>
      <c r="C41" s="17"/>
      <c r="D41" s="17"/>
      <c r="E41" s="17"/>
      <c r="F41" s="17"/>
      <c r="G41" s="17"/>
      <c r="H41" s="18"/>
      <c r="I41" s="19"/>
      <c r="J41" s="195"/>
      <c r="K41" s="195"/>
      <c r="L41" s="300"/>
      <c r="M41" s="300"/>
      <c r="N41" s="300"/>
      <c r="O41" s="195"/>
      <c r="P41" s="142"/>
      <c r="Q41" s="195"/>
      <c r="R41" s="142"/>
      <c r="S41" s="239"/>
      <c r="T41" s="142"/>
      <c r="U41" s="239"/>
      <c r="V41" s="195"/>
      <c r="W41" s="18"/>
      <c r="X41" s="18"/>
      <c r="Y41" s="62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32"/>
    </row>
    <row r="42" spans="1:42" s="96" customFormat="1" ht="42" hidden="1" customHeight="1" x14ac:dyDescent="0.55000000000000004">
      <c r="A42" s="16"/>
      <c r="B42" s="17"/>
      <c r="C42" s="17"/>
      <c r="D42" s="17"/>
      <c r="E42" s="17"/>
      <c r="F42" s="17"/>
      <c r="G42" s="17"/>
      <c r="H42" s="18"/>
      <c r="I42" s="19"/>
      <c r="J42" s="195"/>
      <c r="K42" s="195"/>
      <c r="L42" s="300"/>
      <c r="M42" s="300"/>
      <c r="N42" s="300"/>
      <c r="O42" s="195"/>
      <c r="P42" s="142"/>
      <c r="Q42" s="195"/>
      <c r="R42" s="142"/>
      <c r="S42" s="239"/>
      <c r="T42" s="142"/>
      <c r="U42" s="239"/>
      <c r="V42" s="195"/>
      <c r="W42" s="18"/>
      <c r="X42" s="18"/>
      <c r="Y42" s="62"/>
      <c r="Z42" s="20"/>
      <c r="AA42" s="20"/>
      <c r="AB42" s="20">
        <f>'[4]Seguimiento POPyAS 2017'!$L$26</f>
        <v>4200000</v>
      </c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32"/>
    </row>
    <row r="43" spans="1:42" s="106" customFormat="1" ht="43.5" customHeight="1" x14ac:dyDescent="0.2">
      <c r="A43" s="85" t="s">
        <v>80</v>
      </c>
      <c r="B43" s="105"/>
      <c r="C43" s="105"/>
      <c r="D43" s="105"/>
      <c r="E43" s="105"/>
      <c r="F43" s="105"/>
      <c r="G43" s="105"/>
      <c r="H43" s="105"/>
      <c r="J43" s="139"/>
      <c r="K43" s="143"/>
      <c r="L43" s="303"/>
      <c r="M43" s="303"/>
      <c r="N43" s="303"/>
      <c r="O43" s="139"/>
      <c r="P43" s="139"/>
      <c r="Q43" s="139"/>
      <c r="R43" s="139"/>
      <c r="S43" s="235"/>
      <c r="T43" s="139"/>
      <c r="U43" s="235"/>
      <c r="V43" s="139"/>
      <c r="Y43" s="111"/>
      <c r="Z43" s="60"/>
      <c r="AA43" s="60"/>
      <c r="AB43" s="60"/>
      <c r="AC43" s="107"/>
      <c r="AD43" s="107"/>
      <c r="AE43" s="107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s="99" customFormat="1" ht="47.25" x14ac:dyDescent="0.2">
      <c r="A44" s="97" t="s">
        <v>36</v>
      </c>
      <c r="B44" s="98"/>
      <c r="C44" s="98"/>
      <c r="D44" s="98"/>
      <c r="E44" s="98"/>
      <c r="F44" s="98"/>
      <c r="G44" s="98"/>
      <c r="H44" s="98"/>
      <c r="J44" s="140"/>
      <c r="K44" s="317"/>
      <c r="L44" s="318"/>
      <c r="M44" s="318"/>
      <c r="N44" s="318"/>
      <c r="O44" s="140"/>
      <c r="P44" s="140"/>
      <c r="Q44" s="140"/>
      <c r="R44" s="140"/>
      <c r="S44" s="236"/>
      <c r="T44" s="140"/>
      <c r="U44" s="236"/>
      <c r="V44" s="140"/>
      <c r="Y44" s="112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</row>
    <row r="45" spans="1:42" s="13" customFormat="1" ht="372" customHeight="1" x14ac:dyDescent="0.45">
      <c r="A45" s="73" t="s">
        <v>274</v>
      </c>
      <c r="B45" s="73" t="s">
        <v>74</v>
      </c>
      <c r="C45" s="74" t="s">
        <v>55</v>
      </c>
      <c r="D45" s="74" t="s">
        <v>71</v>
      </c>
      <c r="E45" s="74" t="s">
        <v>53</v>
      </c>
      <c r="F45" s="74" t="s">
        <v>72</v>
      </c>
      <c r="G45" s="74"/>
      <c r="H45" s="121" t="s">
        <v>90</v>
      </c>
      <c r="I45" s="73" t="s">
        <v>43</v>
      </c>
      <c r="J45" s="194"/>
      <c r="K45" s="289" t="s">
        <v>201</v>
      </c>
      <c r="L45" s="308">
        <v>43165</v>
      </c>
      <c r="M45" s="308">
        <v>43179</v>
      </c>
      <c r="N45" s="308" t="s">
        <v>240</v>
      </c>
      <c r="O45" s="194"/>
      <c r="P45" s="271"/>
      <c r="Q45" s="194"/>
      <c r="R45" s="141">
        <v>1</v>
      </c>
      <c r="S45" s="237">
        <f>AF45</f>
        <v>7000000</v>
      </c>
      <c r="T45" s="141"/>
      <c r="U45" s="237"/>
      <c r="V45" s="280"/>
      <c r="W45" s="73" t="s">
        <v>21</v>
      </c>
      <c r="X45" s="73" t="s">
        <v>21</v>
      </c>
      <c r="Y45" s="152" t="s">
        <v>57</v>
      </c>
      <c r="Z45" s="153" t="s">
        <v>25</v>
      </c>
      <c r="AA45" s="153" t="s">
        <v>20</v>
      </c>
      <c r="AB45" s="76">
        <v>6000000</v>
      </c>
      <c r="AC45" s="330"/>
      <c r="AD45" s="330">
        <v>1000000</v>
      </c>
      <c r="AE45" s="330"/>
      <c r="AF45" s="76">
        <f>SUM(AG45:AO45)</f>
        <v>7000000</v>
      </c>
      <c r="AG45" s="153"/>
      <c r="AH45" s="75">
        <v>1000000</v>
      </c>
      <c r="AI45" s="75">
        <v>1000000</v>
      </c>
      <c r="AJ45" s="75"/>
      <c r="AK45" s="75"/>
      <c r="AL45" s="153">
        <v>5000000</v>
      </c>
      <c r="AM45" s="153"/>
      <c r="AN45" s="153"/>
      <c r="AO45" s="153"/>
      <c r="AP45" s="162"/>
    </row>
    <row r="46" spans="1:42" s="13" customFormat="1" ht="195" customHeight="1" x14ac:dyDescent="0.45">
      <c r="A46" s="73" t="s">
        <v>328</v>
      </c>
      <c r="B46" s="73" t="s">
        <v>74</v>
      </c>
      <c r="C46" s="74" t="s">
        <v>55</v>
      </c>
      <c r="D46" s="74" t="s">
        <v>20</v>
      </c>
      <c r="E46" s="74" t="s">
        <v>20</v>
      </c>
      <c r="F46" s="74" t="s">
        <v>20</v>
      </c>
      <c r="G46" s="74"/>
      <c r="H46" s="121" t="s">
        <v>329</v>
      </c>
      <c r="I46" s="73" t="s">
        <v>43</v>
      </c>
      <c r="J46" s="194"/>
      <c r="K46" s="289" t="s">
        <v>201</v>
      </c>
      <c r="L46" s="308">
        <v>43165</v>
      </c>
      <c r="M46" s="308">
        <v>43179</v>
      </c>
      <c r="N46" s="308" t="s">
        <v>240</v>
      </c>
      <c r="O46" s="194"/>
      <c r="P46" s="271"/>
      <c r="Q46" s="194"/>
      <c r="R46" s="141">
        <v>1</v>
      </c>
      <c r="S46" s="237">
        <f>AF46</f>
        <v>0</v>
      </c>
      <c r="T46" s="141"/>
      <c r="U46" s="237"/>
      <c r="V46" s="280"/>
      <c r="W46" s="73" t="s">
        <v>21</v>
      </c>
      <c r="X46" s="73" t="s">
        <v>21</v>
      </c>
      <c r="Y46" s="152" t="s">
        <v>57</v>
      </c>
      <c r="Z46" s="153" t="s">
        <v>25</v>
      </c>
      <c r="AA46" s="153" t="s">
        <v>20</v>
      </c>
      <c r="AB46" s="76">
        <v>18604957.77</v>
      </c>
      <c r="AC46" s="330">
        <f>AB46</f>
        <v>18604957.77</v>
      </c>
      <c r="AD46" s="330"/>
      <c r="AE46" s="330"/>
      <c r="AF46" s="76">
        <f>SUM(AG46:AO46)</f>
        <v>0</v>
      </c>
      <c r="AG46" s="153"/>
      <c r="AH46" s="75">
        <f>18604957.77-18604957.77</f>
        <v>0</v>
      </c>
      <c r="AI46" s="75"/>
      <c r="AJ46" s="75"/>
      <c r="AK46" s="75"/>
      <c r="AL46" s="153"/>
      <c r="AM46" s="153"/>
      <c r="AN46" s="153"/>
      <c r="AO46" s="153"/>
      <c r="AP46" s="162"/>
    </row>
    <row r="47" spans="1:42" s="13" customFormat="1" ht="195" customHeight="1" x14ac:dyDescent="0.45">
      <c r="A47" s="73" t="s">
        <v>407</v>
      </c>
      <c r="B47" s="73" t="s">
        <v>74</v>
      </c>
      <c r="C47" s="74" t="s">
        <v>55</v>
      </c>
      <c r="D47" s="74" t="s">
        <v>20</v>
      </c>
      <c r="E47" s="74" t="s">
        <v>20</v>
      </c>
      <c r="F47" s="74" t="s">
        <v>20</v>
      </c>
      <c r="G47" s="74"/>
      <c r="H47" s="121" t="s">
        <v>408</v>
      </c>
      <c r="I47" s="73" t="s">
        <v>43</v>
      </c>
      <c r="J47" s="194"/>
      <c r="K47" s="289" t="s">
        <v>201</v>
      </c>
      <c r="L47" s="308">
        <v>43165</v>
      </c>
      <c r="M47" s="308">
        <v>43179</v>
      </c>
      <c r="N47" s="308" t="s">
        <v>240</v>
      </c>
      <c r="O47" s="194"/>
      <c r="P47" s="271"/>
      <c r="Q47" s="194"/>
      <c r="R47" s="141">
        <v>1</v>
      </c>
      <c r="S47" s="237">
        <f>AF47</f>
        <v>10145785.65</v>
      </c>
      <c r="T47" s="141"/>
      <c r="U47" s="237"/>
      <c r="V47" s="280"/>
      <c r="W47" s="73" t="s">
        <v>21</v>
      </c>
      <c r="X47" s="73" t="s">
        <v>21</v>
      </c>
      <c r="Y47" s="152" t="s">
        <v>57</v>
      </c>
      <c r="Z47" s="153" t="s">
        <v>25</v>
      </c>
      <c r="AA47" s="153" t="s">
        <v>20</v>
      </c>
      <c r="AB47" s="76">
        <v>0</v>
      </c>
      <c r="AC47" s="330"/>
      <c r="AD47" s="330"/>
      <c r="AE47" s="330">
        <v>10145785.65</v>
      </c>
      <c r="AF47" s="76">
        <f>SUM(AG47:AO47)</f>
        <v>10145785.65</v>
      </c>
      <c r="AG47" s="153"/>
      <c r="AH47" s="75">
        <v>10145785.65</v>
      </c>
      <c r="AI47" s="75"/>
      <c r="AJ47" s="75"/>
      <c r="AK47" s="75"/>
      <c r="AL47" s="153"/>
      <c r="AM47" s="153"/>
      <c r="AN47" s="153"/>
      <c r="AO47" s="153"/>
      <c r="AP47" s="162"/>
    </row>
    <row r="48" spans="1:42" s="13" customFormat="1" ht="213" customHeight="1" x14ac:dyDescent="0.45">
      <c r="A48" s="73" t="s">
        <v>417</v>
      </c>
      <c r="B48" s="73" t="s">
        <v>74</v>
      </c>
      <c r="C48" s="74" t="s">
        <v>55</v>
      </c>
      <c r="D48" s="74" t="s">
        <v>20</v>
      </c>
      <c r="E48" s="74" t="s">
        <v>20</v>
      </c>
      <c r="F48" s="74" t="s">
        <v>20</v>
      </c>
      <c r="G48" s="74"/>
      <c r="H48" s="121" t="s">
        <v>418</v>
      </c>
      <c r="I48" s="73" t="s">
        <v>43</v>
      </c>
      <c r="J48" s="194"/>
      <c r="K48" s="289" t="s">
        <v>201</v>
      </c>
      <c r="L48" s="308">
        <v>43165</v>
      </c>
      <c r="M48" s="308">
        <v>43179</v>
      </c>
      <c r="N48" s="308" t="s">
        <v>240</v>
      </c>
      <c r="O48" s="194"/>
      <c r="P48" s="271"/>
      <c r="Q48" s="194"/>
      <c r="R48" s="141">
        <v>1</v>
      </c>
      <c r="S48" s="237">
        <f>AF48</f>
        <v>3000000</v>
      </c>
      <c r="T48" s="141"/>
      <c r="U48" s="237"/>
      <c r="V48" s="280"/>
      <c r="W48" s="73" t="s">
        <v>21</v>
      </c>
      <c r="X48" s="73" t="s">
        <v>21</v>
      </c>
      <c r="Y48" s="152" t="s">
        <v>57</v>
      </c>
      <c r="Z48" s="153" t="s">
        <v>25</v>
      </c>
      <c r="AA48" s="153" t="s">
        <v>20</v>
      </c>
      <c r="AB48" s="76">
        <v>0</v>
      </c>
      <c r="AC48" s="330"/>
      <c r="AD48" s="330"/>
      <c r="AE48" s="330">
        <v>3000000</v>
      </c>
      <c r="AF48" s="76">
        <f>SUM(AG48:AO48)</f>
        <v>3000000</v>
      </c>
      <c r="AG48" s="153"/>
      <c r="AH48" s="75">
        <v>3000000</v>
      </c>
      <c r="AI48" s="75"/>
      <c r="AJ48" s="75"/>
      <c r="AK48" s="75"/>
      <c r="AL48" s="153"/>
      <c r="AM48" s="153"/>
      <c r="AN48" s="153"/>
      <c r="AO48" s="153"/>
      <c r="AP48" s="162"/>
    </row>
    <row r="49" spans="1:42" s="13" customFormat="1" ht="63" customHeight="1" x14ac:dyDescent="0.55000000000000004">
      <c r="A49" s="14"/>
      <c r="B49" s="14"/>
      <c r="C49" s="14"/>
      <c r="D49" s="14"/>
      <c r="E49" s="14"/>
      <c r="F49" s="14"/>
      <c r="G49" s="14"/>
      <c r="I49" s="15"/>
      <c r="K49" s="288"/>
      <c r="L49" s="299"/>
      <c r="M49" s="299"/>
      <c r="N49" s="299"/>
      <c r="O49" s="288"/>
      <c r="P49" s="315">
        <f>SUM(P45)</f>
        <v>0</v>
      </c>
      <c r="Q49" s="202"/>
      <c r="R49" s="151">
        <f>SUM(R45:R46)</f>
        <v>2</v>
      </c>
      <c r="S49" s="238">
        <f>SUM(S45:S46)</f>
        <v>7000000</v>
      </c>
      <c r="T49" s="151">
        <f>SUM(T45)</f>
        <v>0</v>
      </c>
      <c r="U49" s="238">
        <f>SUM(U45)</f>
        <v>0</v>
      </c>
      <c r="V49" s="207"/>
      <c r="W49" s="201"/>
      <c r="X49" s="201"/>
      <c r="Y49" s="208"/>
      <c r="Z49" s="201"/>
      <c r="AA49" s="15"/>
      <c r="AB49" s="89">
        <f>SUM(AB45:AB48)</f>
        <v>24604957.77</v>
      </c>
      <c r="AC49" s="89">
        <f t="shared" ref="AC49:AO49" si="33">SUM(AC45:AC48)</f>
        <v>18604957.77</v>
      </c>
      <c r="AD49" s="89">
        <f t="shared" si="33"/>
        <v>1000000</v>
      </c>
      <c r="AE49" s="89">
        <f t="shared" si="33"/>
        <v>13145785.65</v>
      </c>
      <c r="AF49" s="89">
        <f t="shared" si="33"/>
        <v>20145785.649999999</v>
      </c>
      <c r="AG49" s="89">
        <f t="shared" si="33"/>
        <v>0</v>
      </c>
      <c r="AH49" s="89">
        <f t="shared" si="33"/>
        <v>14145785.65</v>
      </c>
      <c r="AI49" s="89">
        <f t="shared" si="33"/>
        <v>1000000</v>
      </c>
      <c r="AJ49" s="89">
        <f t="shared" si="33"/>
        <v>0</v>
      </c>
      <c r="AK49" s="89">
        <f t="shared" si="33"/>
        <v>0</v>
      </c>
      <c r="AL49" s="89">
        <f t="shared" si="33"/>
        <v>5000000</v>
      </c>
      <c r="AM49" s="89">
        <f t="shared" si="33"/>
        <v>0</v>
      </c>
      <c r="AN49" s="89">
        <f t="shared" si="33"/>
        <v>0</v>
      </c>
      <c r="AO49" s="89">
        <f t="shared" si="33"/>
        <v>0</v>
      </c>
      <c r="AP49" s="294" t="e">
        <f>SUM(#REF!)</f>
        <v>#REF!</v>
      </c>
    </row>
    <row r="50" spans="1:42" s="96" customFormat="1" ht="24" customHeight="1" x14ac:dyDescent="0.55000000000000004">
      <c r="A50" s="90"/>
      <c r="B50" s="91"/>
      <c r="C50" s="91"/>
      <c r="D50" s="91"/>
      <c r="E50" s="27"/>
      <c r="F50" s="91"/>
      <c r="G50" s="91"/>
      <c r="H50" s="18"/>
      <c r="I50" s="171"/>
      <c r="J50" s="195"/>
      <c r="K50" s="143"/>
      <c r="L50" s="303"/>
      <c r="M50" s="303"/>
      <c r="N50" s="303"/>
      <c r="O50" s="195"/>
      <c r="P50" s="211"/>
      <c r="Q50" s="195"/>
      <c r="R50" s="211"/>
      <c r="S50" s="240"/>
      <c r="T50" s="211"/>
      <c r="U50" s="240"/>
      <c r="V50" s="143"/>
      <c r="W50" s="92"/>
      <c r="X50" s="92"/>
      <c r="Y50" s="94"/>
      <c r="Z50" s="91"/>
      <c r="AA50" s="91"/>
      <c r="AB50" s="91"/>
      <c r="AC50" s="331"/>
      <c r="AD50" s="331"/>
      <c r="AE50" s="33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120"/>
    </row>
    <row r="51" spans="1:42" s="22" customFormat="1" ht="67.5" customHeight="1" x14ac:dyDescent="0.55000000000000004">
      <c r="A51" s="27"/>
      <c r="B51" s="27"/>
      <c r="C51" s="27"/>
      <c r="D51" s="27"/>
      <c r="E51" s="27"/>
      <c r="F51" s="27"/>
      <c r="G51" s="27"/>
      <c r="H51" s="28"/>
      <c r="I51" s="196"/>
      <c r="J51" s="196"/>
      <c r="K51" s="196"/>
      <c r="L51" s="301"/>
      <c r="M51" s="301"/>
      <c r="N51" s="301"/>
      <c r="O51" s="196"/>
      <c r="P51" s="167">
        <f>P49</f>
        <v>0</v>
      </c>
      <c r="Q51" s="196"/>
      <c r="R51" s="167">
        <f>R49</f>
        <v>2</v>
      </c>
      <c r="S51" s="133">
        <f>S49</f>
        <v>7000000</v>
      </c>
      <c r="T51" s="167">
        <f>T49</f>
        <v>0</v>
      </c>
      <c r="U51" s="133">
        <f>U49</f>
        <v>0</v>
      </c>
      <c r="V51" s="196"/>
      <c r="W51" s="337" t="s">
        <v>22</v>
      </c>
      <c r="X51" s="338"/>
      <c r="Y51" s="338"/>
      <c r="Z51" s="338"/>
      <c r="AA51" s="183"/>
      <c r="AB51" s="133">
        <f t="shared" ref="AB51:AE51" si="34">AB49</f>
        <v>24604957.77</v>
      </c>
      <c r="AC51" s="133">
        <f t="shared" si="34"/>
        <v>18604957.77</v>
      </c>
      <c r="AD51" s="133">
        <f t="shared" si="34"/>
        <v>1000000</v>
      </c>
      <c r="AE51" s="133">
        <f t="shared" si="34"/>
        <v>13145785.65</v>
      </c>
      <c r="AF51" s="133">
        <f>AF49</f>
        <v>20145785.649999999</v>
      </c>
      <c r="AG51" s="133">
        <f t="shared" ref="AG51:AJ51" si="35">AG49</f>
        <v>0</v>
      </c>
      <c r="AH51" s="133">
        <f t="shared" si="35"/>
        <v>14145785.65</v>
      </c>
      <c r="AI51" s="133">
        <f t="shared" si="35"/>
        <v>1000000</v>
      </c>
      <c r="AJ51" s="133">
        <f t="shared" si="35"/>
        <v>0</v>
      </c>
      <c r="AK51" s="133">
        <f t="shared" ref="AK51:AP51" si="36">AK49</f>
        <v>0</v>
      </c>
      <c r="AL51" s="133">
        <f t="shared" si="36"/>
        <v>5000000</v>
      </c>
      <c r="AM51" s="133">
        <f t="shared" si="36"/>
        <v>0</v>
      </c>
      <c r="AN51" s="133">
        <f t="shared" si="36"/>
        <v>0</v>
      </c>
      <c r="AO51" s="133">
        <f t="shared" si="36"/>
        <v>0</v>
      </c>
      <c r="AP51" s="295" t="e">
        <f t="shared" si="36"/>
        <v>#REF!</v>
      </c>
    </row>
    <row r="52" spans="1:42" s="13" customFormat="1" ht="27" customHeight="1" x14ac:dyDescent="0.55000000000000004">
      <c r="A52" s="16"/>
      <c r="B52" s="17"/>
      <c r="C52" s="17"/>
      <c r="D52" s="17"/>
      <c r="E52" s="17"/>
      <c r="F52" s="17"/>
      <c r="G52" s="17"/>
      <c r="H52" s="18"/>
      <c r="I52" s="19"/>
      <c r="J52" s="195"/>
      <c r="K52" s="195"/>
      <c r="L52" s="300"/>
      <c r="M52" s="300"/>
      <c r="N52" s="300"/>
      <c r="O52" s="195"/>
      <c r="P52" s="142"/>
      <c r="Q52" s="195"/>
      <c r="R52" s="142"/>
      <c r="S52" s="239"/>
      <c r="T52" s="142"/>
      <c r="U52" s="239"/>
      <c r="V52" s="195"/>
      <c r="W52" s="18"/>
      <c r="X52" s="18"/>
      <c r="Y52" s="62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32"/>
    </row>
    <row r="53" spans="1:42" s="96" customFormat="1" x14ac:dyDescent="0.55000000000000004">
      <c r="A53" s="16"/>
      <c r="B53" s="17"/>
      <c r="C53" s="17"/>
      <c r="D53" s="17"/>
      <c r="E53" s="17"/>
      <c r="F53" s="17"/>
      <c r="G53" s="17"/>
      <c r="H53" s="18"/>
      <c r="I53" s="19"/>
      <c r="J53" s="195"/>
      <c r="K53" s="195"/>
      <c r="L53" s="300"/>
      <c r="M53" s="300"/>
      <c r="N53" s="300"/>
      <c r="O53" s="195"/>
      <c r="P53" s="142"/>
      <c r="Q53" s="195"/>
      <c r="R53" s="142"/>
      <c r="S53" s="239"/>
      <c r="T53" s="142"/>
      <c r="U53" s="239"/>
      <c r="V53" s="195"/>
      <c r="W53" s="18"/>
      <c r="X53" s="18"/>
      <c r="Y53" s="62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32"/>
    </row>
    <row r="54" spans="1:42" s="106" customFormat="1" ht="43.5" customHeight="1" x14ac:dyDescent="0.2">
      <c r="A54" s="85" t="s">
        <v>81</v>
      </c>
      <c r="B54" s="105"/>
      <c r="C54" s="105"/>
      <c r="D54" s="105"/>
      <c r="E54" s="105"/>
      <c r="F54" s="105"/>
      <c r="G54" s="105"/>
      <c r="H54" s="105"/>
      <c r="J54" s="139"/>
      <c r="K54" s="143"/>
      <c r="L54" s="303"/>
      <c r="M54" s="303"/>
      <c r="N54" s="303"/>
      <c r="O54" s="139"/>
      <c r="P54" s="139"/>
      <c r="Q54" s="139"/>
      <c r="R54" s="139"/>
      <c r="S54" s="235"/>
      <c r="T54" s="139"/>
      <c r="U54" s="235"/>
      <c r="V54" s="139"/>
      <c r="Y54" s="111"/>
      <c r="Z54" s="60"/>
      <c r="AA54" s="60"/>
      <c r="AB54" s="60"/>
      <c r="AC54" s="107"/>
      <c r="AD54" s="107"/>
      <c r="AE54" s="107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1:42" s="99" customFormat="1" ht="43.5" customHeight="1" x14ac:dyDescent="0.2">
      <c r="A55" s="97" t="s">
        <v>131</v>
      </c>
      <c r="B55" s="98"/>
      <c r="C55" s="98"/>
      <c r="D55" s="98"/>
      <c r="E55" s="98"/>
      <c r="F55" s="98"/>
      <c r="G55" s="98"/>
      <c r="H55" s="98"/>
      <c r="J55" s="140"/>
      <c r="K55" s="317"/>
      <c r="L55" s="318"/>
      <c r="M55" s="318"/>
      <c r="N55" s="318"/>
      <c r="O55" s="140"/>
      <c r="P55" s="140"/>
      <c r="Q55" s="140"/>
      <c r="R55" s="140"/>
      <c r="S55" s="236"/>
      <c r="T55" s="140"/>
      <c r="U55" s="236"/>
      <c r="V55" s="140"/>
      <c r="Y55" s="112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</row>
    <row r="56" spans="1:42" s="13" customFormat="1" ht="138.75" customHeight="1" x14ac:dyDescent="0.45">
      <c r="A56" s="73" t="s">
        <v>275</v>
      </c>
      <c r="B56" s="73" t="s">
        <v>113</v>
      </c>
      <c r="C56" s="74" t="s">
        <v>101</v>
      </c>
      <c r="D56" s="74" t="s">
        <v>130</v>
      </c>
      <c r="E56" s="74" t="s">
        <v>51</v>
      </c>
      <c r="F56" s="74" t="s">
        <v>52</v>
      </c>
      <c r="G56" s="74"/>
      <c r="H56" s="121" t="s">
        <v>155</v>
      </c>
      <c r="I56" s="73" t="s">
        <v>146</v>
      </c>
      <c r="J56" s="194"/>
      <c r="K56" s="141" t="s">
        <v>202</v>
      </c>
      <c r="L56" s="309" t="s">
        <v>20</v>
      </c>
      <c r="M56" s="309" t="s">
        <v>20</v>
      </c>
      <c r="N56" s="309" t="s">
        <v>20</v>
      </c>
      <c r="O56" s="194"/>
      <c r="P56" s="273">
        <v>50</v>
      </c>
      <c r="Q56" s="194"/>
      <c r="R56" s="141"/>
      <c r="S56" s="237"/>
      <c r="T56" s="141">
        <v>1</v>
      </c>
      <c r="U56" s="237">
        <f>AF56</f>
        <v>0</v>
      </c>
      <c r="V56" s="282"/>
      <c r="W56" s="73" t="s">
        <v>54</v>
      </c>
      <c r="X56" s="73" t="s">
        <v>116</v>
      </c>
      <c r="Y56" s="152" t="s">
        <v>57</v>
      </c>
      <c r="Z56" s="153" t="s">
        <v>156</v>
      </c>
      <c r="AA56" s="153" t="s">
        <v>20</v>
      </c>
      <c r="AB56" s="76">
        <v>1147075</v>
      </c>
      <c r="AC56" s="330">
        <v>1147075</v>
      </c>
      <c r="AD56" s="330"/>
      <c r="AE56" s="330"/>
      <c r="AF56" s="76">
        <f>SUM(AG56:AO56)</f>
        <v>0</v>
      </c>
      <c r="AG56" s="153"/>
      <c r="AH56" s="75">
        <f>573537.5-573537.5</f>
        <v>0</v>
      </c>
      <c r="AI56" s="153">
        <f>573537.5-573537.5</f>
        <v>0</v>
      </c>
      <c r="AJ56" s="75"/>
      <c r="AK56" s="75"/>
      <c r="AL56" s="75"/>
      <c r="AM56" s="153"/>
      <c r="AN56" s="153"/>
      <c r="AO56" s="153"/>
      <c r="AP56" s="162"/>
    </row>
    <row r="57" spans="1:42" s="13" customFormat="1" ht="138.75" customHeight="1" x14ac:dyDescent="0.45">
      <c r="A57" s="73" t="s">
        <v>338</v>
      </c>
      <c r="B57" s="73" t="s">
        <v>113</v>
      </c>
      <c r="C57" s="74" t="s">
        <v>101</v>
      </c>
      <c r="D57" s="74" t="s">
        <v>130</v>
      </c>
      <c r="E57" s="74" t="s">
        <v>51</v>
      </c>
      <c r="F57" s="74" t="s">
        <v>52</v>
      </c>
      <c r="G57" s="74"/>
      <c r="H57" s="121" t="s">
        <v>409</v>
      </c>
      <c r="I57" s="73" t="s">
        <v>146</v>
      </c>
      <c r="J57" s="194"/>
      <c r="K57" s="141" t="s">
        <v>202</v>
      </c>
      <c r="L57" s="309" t="s">
        <v>20</v>
      </c>
      <c r="M57" s="309" t="s">
        <v>20</v>
      </c>
      <c r="N57" s="309" t="s">
        <v>20</v>
      </c>
      <c r="O57" s="194"/>
      <c r="P57" s="273">
        <v>50</v>
      </c>
      <c r="Q57" s="194"/>
      <c r="R57" s="141"/>
      <c r="S57" s="237"/>
      <c r="T57" s="141">
        <v>1</v>
      </c>
      <c r="U57" s="237">
        <f>AF57</f>
        <v>1377892.18</v>
      </c>
      <c r="V57" s="282"/>
      <c r="W57" s="73" t="s">
        <v>54</v>
      </c>
      <c r="X57" s="73" t="s">
        <v>116</v>
      </c>
      <c r="Y57" s="152" t="s">
        <v>57</v>
      </c>
      <c r="Z57" s="153" t="s">
        <v>156</v>
      </c>
      <c r="AA57" s="153" t="s">
        <v>20</v>
      </c>
      <c r="AB57" s="76">
        <v>0</v>
      </c>
      <c r="AC57" s="330"/>
      <c r="AD57" s="330"/>
      <c r="AE57" s="330">
        <v>1377892.18</v>
      </c>
      <c r="AF57" s="76">
        <f>SUM(AG57:AO57)</f>
        <v>1377892.18</v>
      </c>
      <c r="AG57" s="153"/>
      <c r="AH57" s="75">
        <v>688946.09</v>
      </c>
      <c r="AI57" s="153">
        <v>688946.09</v>
      </c>
      <c r="AJ57" s="75"/>
      <c r="AK57" s="75"/>
      <c r="AL57" s="75"/>
      <c r="AM57" s="153"/>
      <c r="AN57" s="153"/>
      <c r="AO57" s="153"/>
      <c r="AP57" s="162"/>
    </row>
    <row r="58" spans="1:42" s="13" customFormat="1" ht="148.5" customHeight="1" x14ac:dyDescent="0.45">
      <c r="A58" s="73" t="s">
        <v>276</v>
      </c>
      <c r="B58" s="73" t="s">
        <v>113</v>
      </c>
      <c r="C58" s="74" t="s">
        <v>101</v>
      </c>
      <c r="D58" s="74" t="s">
        <v>130</v>
      </c>
      <c r="E58" s="74" t="s">
        <v>51</v>
      </c>
      <c r="F58" s="74" t="s">
        <v>52</v>
      </c>
      <c r="G58" s="74"/>
      <c r="H58" s="121" t="s">
        <v>153</v>
      </c>
      <c r="I58" s="73" t="s">
        <v>154</v>
      </c>
      <c r="J58" s="194"/>
      <c r="K58" s="141" t="s">
        <v>202</v>
      </c>
      <c r="L58" s="309" t="s">
        <v>20</v>
      </c>
      <c r="M58" s="309" t="s">
        <v>20</v>
      </c>
      <c r="N58" s="309" t="s">
        <v>20</v>
      </c>
      <c r="O58" s="194"/>
      <c r="P58" s="273">
        <v>30</v>
      </c>
      <c r="Q58" s="194"/>
      <c r="R58" s="141"/>
      <c r="S58" s="237"/>
      <c r="T58" s="141">
        <v>1</v>
      </c>
      <c r="U58" s="237">
        <f>AF58</f>
        <v>0</v>
      </c>
      <c r="V58" s="282"/>
      <c r="W58" s="73" t="s">
        <v>54</v>
      </c>
      <c r="X58" s="73" t="s">
        <v>116</v>
      </c>
      <c r="Y58" s="152" t="s">
        <v>57</v>
      </c>
      <c r="Z58" s="153" t="s">
        <v>156</v>
      </c>
      <c r="AA58" s="153" t="s">
        <v>20</v>
      </c>
      <c r="AB58" s="76">
        <v>1452925</v>
      </c>
      <c r="AC58" s="330">
        <v>1452925</v>
      </c>
      <c r="AD58" s="330"/>
      <c r="AE58" s="330"/>
      <c r="AF58" s="76">
        <f>SUM(AG58:AO58)</f>
        <v>0</v>
      </c>
      <c r="AG58" s="153"/>
      <c r="AH58" s="75">
        <f>726462.5-726462.5</f>
        <v>0</v>
      </c>
      <c r="AI58" s="153">
        <f>726462.5-726462.5</f>
        <v>0</v>
      </c>
      <c r="AJ58" s="75"/>
      <c r="AK58" s="75"/>
      <c r="AL58" s="75"/>
      <c r="AM58" s="153"/>
      <c r="AN58" s="153"/>
      <c r="AO58" s="153"/>
      <c r="AP58" s="162"/>
    </row>
    <row r="59" spans="1:42" s="13" customFormat="1" ht="148.5" customHeight="1" x14ac:dyDescent="0.45">
      <c r="A59" s="73" t="s">
        <v>339</v>
      </c>
      <c r="B59" s="73" t="s">
        <v>113</v>
      </c>
      <c r="C59" s="74" t="s">
        <v>101</v>
      </c>
      <c r="D59" s="74" t="s">
        <v>130</v>
      </c>
      <c r="E59" s="74" t="s">
        <v>51</v>
      </c>
      <c r="F59" s="74" t="s">
        <v>52</v>
      </c>
      <c r="G59" s="74"/>
      <c r="H59" s="121" t="s">
        <v>410</v>
      </c>
      <c r="I59" s="73" t="s">
        <v>154</v>
      </c>
      <c r="J59" s="194"/>
      <c r="K59" s="141" t="s">
        <v>202</v>
      </c>
      <c r="L59" s="309" t="s">
        <v>20</v>
      </c>
      <c r="M59" s="309" t="s">
        <v>20</v>
      </c>
      <c r="N59" s="309" t="s">
        <v>20</v>
      </c>
      <c r="O59" s="194"/>
      <c r="P59" s="273">
        <v>30</v>
      </c>
      <c r="Q59" s="194"/>
      <c r="R59" s="141"/>
      <c r="S59" s="237"/>
      <c r="T59" s="141">
        <v>1</v>
      </c>
      <c r="U59" s="237">
        <f>AF59</f>
        <v>951909.42</v>
      </c>
      <c r="V59" s="282"/>
      <c r="W59" s="73" t="s">
        <v>54</v>
      </c>
      <c r="X59" s="73" t="s">
        <v>116</v>
      </c>
      <c r="Y59" s="152" t="s">
        <v>57</v>
      </c>
      <c r="Z59" s="153" t="s">
        <v>156</v>
      </c>
      <c r="AA59" s="153" t="s">
        <v>20</v>
      </c>
      <c r="AB59" s="76">
        <v>0</v>
      </c>
      <c r="AC59" s="330"/>
      <c r="AD59" s="330"/>
      <c r="AE59" s="330">
        <v>951909.42</v>
      </c>
      <c r="AF59" s="76">
        <f>SUM(AG59:AO59)</f>
        <v>951909.42</v>
      </c>
      <c r="AG59" s="153"/>
      <c r="AH59" s="75">
        <v>475954.71</v>
      </c>
      <c r="AI59" s="153">
        <v>475954.71</v>
      </c>
      <c r="AJ59" s="75"/>
      <c r="AK59" s="75"/>
      <c r="AL59" s="75"/>
      <c r="AM59" s="153"/>
      <c r="AN59" s="153"/>
      <c r="AO59" s="153"/>
      <c r="AP59" s="162"/>
    </row>
    <row r="60" spans="1:42" s="13" customFormat="1" ht="63" customHeight="1" x14ac:dyDescent="0.55000000000000004">
      <c r="A60" s="14"/>
      <c r="B60" s="14"/>
      <c r="C60" s="14"/>
      <c r="D60" s="14"/>
      <c r="E60" s="14"/>
      <c r="F60" s="14"/>
      <c r="G60" s="14"/>
      <c r="H60" s="14"/>
      <c r="I60" s="15"/>
      <c r="K60" s="288"/>
      <c r="L60" s="299"/>
      <c r="M60" s="299"/>
      <c r="N60" s="288"/>
      <c r="O60" s="288"/>
      <c r="P60" s="315">
        <f>SUM(P56:P59)</f>
        <v>160</v>
      </c>
      <c r="Q60" s="202"/>
      <c r="R60" s="151">
        <f>SUM(R56:R59)</f>
        <v>0</v>
      </c>
      <c r="S60" s="238">
        <f>SUM(S56:S59)</f>
        <v>0</v>
      </c>
      <c r="T60" s="151">
        <f>SUM(T56:T59)</f>
        <v>4</v>
      </c>
      <c r="U60" s="238">
        <f>SUM(U56:U59)</f>
        <v>2329801.6</v>
      </c>
      <c r="V60" s="207"/>
      <c r="W60" s="201"/>
      <c r="X60" s="15"/>
      <c r="Y60" s="14"/>
      <c r="Z60" s="15"/>
      <c r="AA60" s="15"/>
      <c r="AB60" s="89">
        <f t="shared" ref="AB60:AG60" si="37">SUM(AB56:AB59)</f>
        <v>2600000</v>
      </c>
      <c r="AC60" s="238">
        <f t="shared" si="37"/>
        <v>2600000</v>
      </c>
      <c r="AD60" s="238">
        <f t="shared" si="37"/>
        <v>0</v>
      </c>
      <c r="AE60" s="238">
        <f t="shared" si="37"/>
        <v>2329801.6</v>
      </c>
      <c r="AF60" s="89">
        <f t="shared" si="37"/>
        <v>2329801.6</v>
      </c>
      <c r="AG60" s="89">
        <f t="shared" si="37"/>
        <v>0</v>
      </c>
      <c r="AH60" s="89">
        <f t="shared" ref="AH60:AO60" si="38">SUM(AH56:AH59)</f>
        <v>1164900.8</v>
      </c>
      <c r="AI60" s="89">
        <f t="shared" si="38"/>
        <v>1164900.8</v>
      </c>
      <c r="AJ60" s="89">
        <f t="shared" si="38"/>
        <v>0</v>
      </c>
      <c r="AK60" s="89">
        <f t="shared" si="38"/>
        <v>0</v>
      </c>
      <c r="AL60" s="89">
        <f t="shared" si="38"/>
        <v>0</v>
      </c>
      <c r="AM60" s="89">
        <f t="shared" si="38"/>
        <v>0</v>
      </c>
      <c r="AN60" s="89">
        <f t="shared" si="38"/>
        <v>0</v>
      </c>
      <c r="AO60" s="89">
        <f t="shared" si="38"/>
        <v>0</v>
      </c>
      <c r="AP60" s="294" t="e">
        <f>SUM(#REF!)</f>
        <v>#REF!</v>
      </c>
    </row>
    <row r="61" spans="1:42" s="13" customFormat="1" ht="27" customHeight="1" x14ac:dyDescent="0.55000000000000004">
      <c r="A61" s="16"/>
      <c r="B61" s="17"/>
      <c r="C61" s="17"/>
      <c r="D61" s="17"/>
      <c r="E61" s="17"/>
      <c r="F61" s="17"/>
      <c r="G61" s="17"/>
      <c r="H61" s="18"/>
      <c r="I61" s="171"/>
      <c r="J61" s="195"/>
      <c r="K61" s="195"/>
      <c r="L61" s="300"/>
      <c r="M61" s="300"/>
      <c r="N61" s="300"/>
      <c r="O61" s="195"/>
      <c r="P61" s="211"/>
      <c r="Q61" s="195"/>
      <c r="R61" s="211"/>
      <c r="S61" s="240"/>
      <c r="T61" s="211"/>
      <c r="U61" s="240"/>
      <c r="V61" s="195"/>
      <c r="W61" s="92"/>
      <c r="X61" s="92"/>
      <c r="Y61" s="94"/>
      <c r="Z61" s="91"/>
      <c r="AA61" s="21"/>
      <c r="AB61" s="21"/>
      <c r="AC61" s="172"/>
      <c r="AD61" s="172"/>
      <c r="AE61" s="172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120"/>
    </row>
    <row r="62" spans="1:42" s="22" customFormat="1" ht="67.5" customHeight="1" x14ac:dyDescent="0.55000000000000004">
      <c r="A62" s="27"/>
      <c r="B62" s="27"/>
      <c r="C62" s="27"/>
      <c r="D62" s="27"/>
      <c r="E62" s="27"/>
      <c r="F62" s="27"/>
      <c r="G62" s="27"/>
      <c r="H62" s="28"/>
      <c r="I62" s="196"/>
      <c r="J62" s="196"/>
      <c r="K62" s="196"/>
      <c r="L62" s="301"/>
      <c r="M62" s="301"/>
      <c r="N62" s="301"/>
      <c r="O62" s="196"/>
      <c r="P62" s="167">
        <f>P60</f>
        <v>160</v>
      </c>
      <c r="Q62" s="196"/>
      <c r="R62" s="167">
        <f>R60</f>
        <v>0</v>
      </c>
      <c r="S62" s="133">
        <f>S60</f>
        <v>0</v>
      </c>
      <c r="T62" s="167">
        <f>T60</f>
        <v>4</v>
      </c>
      <c r="U62" s="133">
        <f>U60</f>
        <v>2329801.6</v>
      </c>
      <c r="V62" s="196"/>
      <c r="W62" s="337" t="s">
        <v>22</v>
      </c>
      <c r="X62" s="338"/>
      <c r="Y62" s="338"/>
      <c r="Z62" s="338"/>
      <c r="AA62" s="183"/>
      <c r="AB62" s="133">
        <f t="shared" ref="AB62:AG62" si="39">AB60</f>
        <v>2600000</v>
      </c>
      <c r="AC62" s="133">
        <f t="shared" si="39"/>
        <v>2600000</v>
      </c>
      <c r="AD62" s="133">
        <f t="shared" si="39"/>
        <v>0</v>
      </c>
      <c r="AE62" s="133">
        <f t="shared" si="39"/>
        <v>2329801.6</v>
      </c>
      <c r="AF62" s="133">
        <f t="shared" si="39"/>
        <v>2329801.6</v>
      </c>
      <c r="AG62" s="133">
        <f t="shared" si="39"/>
        <v>0</v>
      </c>
      <c r="AH62" s="133">
        <f t="shared" ref="AH62:AO62" si="40">AH60</f>
        <v>1164900.8</v>
      </c>
      <c r="AI62" s="133">
        <f t="shared" si="40"/>
        <v>1164900.8</v>
      </c>
      <c r="AJ62" s="133">
        <f t="shared" si="40"/>
        <v>0</v>
      </c>
      <c r="AK62" s="133">
        <f t="shared" si="40"/>
        <v>0</v>
      </c>
      <c r="AL62" s="133">
        <f t="shared" si="40"/>
        <v>0</v>
      </c>
      <c r="AM62" s="133">
        <f t="shared" si="40"/>
        <v>0</v>
      </c>
      <c r="AN62" s="133">
        <f t="shared" si="40"/>
        <v>0</v>
      </c>
      <c r="AO62" s="133">
        <f t="shared" si="40"/>
        <v>0</v>
      </c>
      <c r="AP62" s="295" t="e">
        <f>#REF!+AP60</f>
        <v>#REF!</v>
      </c>
    </row>
    <row r="63" spans="1:42" s="13" customFormat="1" ht="27" customHeight="1" x14ac:dyDescent="0.55000000000000004">
      <c r="A63" s="16"/>
      <c r="B63" s="17"/>
      <c r="C63" s="17"/>
      <c r="D63" s="17"/>
      <c r="E63" s="17"/>
      <c r="F63" s="17"/>
      <c r="G63" s="17"/>
      <c r="H63" s="18"/>
      <c r="I63" s="19"/>
      <c r="J63" s="195"/>
      <c r="K63" s="195"/>
      <c r="L63" s="300"/>
      <c r="M63" s="300"/>
      <c r="N63" s="300"/>
      <c r="O63" s="195"/>
      <c r="P63" s="142"/>
      <c r="Q63" s="195"/>
      <c r="R63" s="142"/>
      <c r="S63" s="239"/>
      <c r="T63" s="142"/>
      <c r="U63" s="239"/>
      <c r="V63" s="195"/>
      <c r="W63" s="18"/>
      <c r="X63" s="18"/>
      <c r="Y63" s="62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32"/>
    </row>
    <row r="64" spans="1:42" s="96" customFormat="1" x14ac:dyDescent="0.55000000000000004">
      <c r="A64" s="16"/>
      <c r="B64" s="17"/>
      <c r="C64" s="17"/>
      <c r="D64" s="17"/>
      <c r="E64" s="17"/>
      <c r="F64" s="17"/>
      <c r="G64" s="17"/>
      <c r="H64" s="18"/>
      <c r="I64" s="19"/>
      <c r="J64" s="195"/>
      <c r="K64" s="195"/>
      <c r="L64" s="300"/>
      <c r="M64" s="300"/>
      <c r="N64" s="300"/>
      <c r="O64" s="195"/>
      <c r="P64" s="142"/>
      <c r="Q64" s="195"/>
      <c r="R64" s="142"/>
      <c r="S64" s="239"/>
      <c r="T64" s="142"/>
      <c r="U64" s="239"/>
      <c r="V64" s="195"/>
      <c r="W64" s="18"/>
      <c r="X64" s="18"/>
      <c r="Y64" s="62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32"/>
    </row>
    <row r="65" spans="1:42" s="106" customFormat="1" ht="43.5" customHeight="1" x14ac:dyDescent="0.2">
      <c r="A65" s="85" t="s">
        <v>85</v>
      </c>
      <c r="B65" s="105"/>
      <c r="C65" s="105"/>
      <c r="D65" s="105"/>
      <c r="E65" s="105"/>
      <c r="F65" s="105"/>
      <c r="G65" s="105"/>
      <c r="H65" s="105"/>
      <c r="J65" s="139"/>
      <c r="K65" s="143"/>
      <c r="L65" s="303"/>
      <c r="M65" s="303"/>
      <c r="N65" s="303"/>
      <c r="O65" s="139"/>
      <c r="P65" s="139"/>
      <c r="Q65" s="139"/>
      <c r="R65" s="139"/>
      <c r="S65" s="235"/>
      <c r="T65" s="139"/>
      <c r="U65" s="235"/>
      <c r="V65" s="139"/>
      <c r="Y65" s="111"/>
      <c r="Z65" s="60"/>
      <c r="AA65" s="60"/>
      <c r="AB65" s="60"/>
      <c r="AC65" s="107"/>
      <c r="AD65" s="107"/>
      <c r="AE65" s="107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1:42" s="99" customFormat="1" ht="43.5" customHeight="1" x14ac:dyDescent="0.2">
      <c r="A66" s="97" t="s">
        <v>131</v>
      </c>
      <c r="B66" s="98"/>
      <c r="C66" s="98"/>
      <c r="D66" s="98"/>
      <c r="E66" s="98"/>
      <c r="F66" s="98"/>
      <c r="G66" s="98"/>
      <c r="H66" s="98"/>
      <c r="J66" s="140"/>
      <c r="K66" s="317"/>
      <c r="L66" s="318"/>
      <c r="M66" s="318"/>
      <c r="N66" s="318"/>
      <c r="O66" s="140"/>
      <c r="P66" s="140"/>
      <c r="Q66" s="140"/>
      <c r="R66" s="140"/>
      <c r="S66" s="236"/>
      <c r="T66" s="140"/>
      <c r="U66" s="236"/>
      <c r="V66" s="140"/>
      <c r="Y66" s="112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</row>
    <row r="67" spans="1:42" s="13" customFormat="1" ht="140.25" customHeight="1" x14ac:dyDescent="0.45">
      <c r="A67" s="73" t="s">
        <v>180</v>
      </c>
      <c r="B67" s="73" t="s">
        <v>113</v>
      </c>
      <c r="C67" s="74" t="s">
        <v>101</v>
      </c>
      <c r="D67" s="74" t="s">
        <v>130</v>
      </c>
      <c r="E67" s="74" t="s">
        <v>51</v>
      </c>
      <c r="F67" s="74" t="s">
        <v>52</v>
      </c>
      <c r="G67" s="74"/>
      <c r="H67" s="121" t="s">
        <v>175</v>
      </c>
      <c r="I67" s="73" t="s">
        <v>114</v>
      </c>
      <c r="J67" s="194"/>
      <c r="K67" s="141" t="s">
        <v>202</v>
      </c>
      <c r="L67" s="309" t="s">
        <v>20</v>
      </c>
      <c r="M67" s="309" t="s">
        <v>20</v>
      </c>
      <c r="N67" s="309" t="s">
        <v>20</v>
      </c>
      <c r="O67" s="194"/>
      <c r="P67" s="273">
        <v>10</v>
      </c>
      <c r="Q67" s="194"/>
      <c r="R67" s="141"/>
      <c r="S67" s="237"/>
      <c r="T67" s="141">
        <v>1</v>
      </c>
      <c r="U67" s="237">
        <f t="shared" ref="U67:U79" si="41">AF67</f>
        <v>0</v>
      </c>
      <c r="V67" s="282"/>
      <c r="W67" s="73" t="s">
        <v>54</v>
      </c>
      <c r="X67" s="73" t="s">
        <v>116</v>
      </c>
      <c r="Y67" s="74" t="s">
        <v>128</v>
      </c>
      <c r="Z67" s="153" t="s">
        <v>126</v>
      </c>
      <c r="AA67" s="153" t="s">
        <v>20</v>
      </c>
      <c r="AB67" s="76">
        <v>350000</v>
      </c>
      <c r="AC67" s="75">
        <f>AB67</f>
        <v>350000</v>
      </c>
      <c r="AD67" s="330"/>
      <c r="AE67" s="330"/>
      <c r="AF67" s="76">
        <f t="shared" ref="AF67:AF80" si="42">SUM(AG67:AO67)</f>
        <v>0</v>
      </c>
      <c r="AG67" s="153"/>
      <c r="AH67" s="75">
        <f>175000-175000</f>
        <v>0</v>
      </c>
      <c r="AI67" s="75"/>
      <c r="AJ67" s="75">
        <f>175000-175000</f>
        <v>0</v>
      </c>
      <c r="AK67" s="75"/>
      <c r="AL67" s="75"/>
      <c r="AM67" s="153"/>
      <c r="AN67" s="153"/>
      <c r="AO67" s="153"/>
      <c r="AP67" s="162"/>
    </row>
    <row r="68" spans="1:42" s="13" customFormat="1" ht="140.25" customHeight="1" x14ac:dyDescent="0.45">
      <c r="A68" s="73" t="s">
        <v>340</v>
      </c>
      <c r="B68" s="73" t="s">
        <v>113</v>
      </c>
      <c r="C68" s="74" t="s">
        <v>101</v>
      </c>
      <c r="D68" s="74" t="s">
        <v>130</v>
      </c>
      <c r="E68" s="74" t="s">
        <v>51</v>
      </c>
      <c r="F68" s="74" t="s">
        <v>52</v>
      </c>
      <c r="G68" s="74"/>
      <c r="H68" s="121" t="s">
        <v>346</v>
      </c>
      <c r="I68" s="73" t="s">
        <v>114</v>
      </c>
      <c r="J68" s="194"/>
      <c r="K68" s="141" t="s">
        <v>202</v>
      </c>
      <c r="L68" s="309" t="s">
        <v>20</v>
      </c>
      <c r="M68" s="309" t="s">
        <v>20</v>
      </c>
      <c r="N68" s="309" t="s">
        <v>20</v>
      </c>
      <c r="O68" s="194"/>
      <c r="P68" s="273">
        <v>10</v>
      </c>
      <c r="Q68" s="194"/>
      <c r="R68" s="141"/>
      <c r="S68" s="237"/>
      <c r="T68" s="141">
        <v>1</v>
      </c>
      <c r="U68" s="237">
        <f t="shared" si="41"/>
        <v>228115.04</v>
      </c>
      <c r="V68" s="282"/>
      <c r="W68" s="73" t="s">
        <v>54</v>
      </c>
      <c r="X68" s="73" t="s">
        <v>116</v>
      </c>
      <c r="Y68" s="74" t="s">
        <v>128</v>
      </c>
      <c r="Z68" s="153" t="s">
        <v>126</v>
      </c>
      <c r="AA68" s="153" t="s">
        <v>20</v>
      </c>
      <c r="AB68" s="76">
        <v>0</v>
      </c>
      <c r="AC68" s="330"/>
      <c r="AD68" s="330"/>
      <c r="AE68" s="330">
        <v>228115.04</v>
      </c>
      <c r="AF68" s="76">
        <f t="shared" si="42"/>
        <v>228115.04</v>
      </c>
      <c r="AG68" s="153"/>
      <c r="AH68" s="75">
        <v>114057.52</v>
      </c>
      <c r="AI68" s="75"/>
      <c r="AJ68" s="75">
        <v>114057.52</v>
      </c>
      <c r="AK68" s="75"/>
      <c r="AL68" s="75"/>
      <c r="AM68" s="153"/>
      <c r="AN68" s="153"/>
      <c r="AO68" s="153"/>
      <c r="AP68" s="162"/>
    </row>
    <row r="69" spans="1:42" s="13" customFormat="1" ht="140.25" customHeight="1" x14ac:dyDescent="0.45">
      <c r="A69" s="73" t="s">
        <v>181</v>
      </c>
      <c r="B69" s="73" t="s">
        <v>113</v>
      </c>
      <c r="C69" s="74" t="s">
        <v>101</v>
      </c>
      <c r="D69" s="74" t="s">
        <v>130</v>
      </c>
      <c r="E69" s="74" t="s">
        <v>51</v>
      </c>
      <c r="F69" s="74" t="s">
        <v>52</v>
      </c>
      <c r="G69" s="74"/>
      <c r="H69" s="121" t="s">
        <v>110</v>
      </c>
      <c r="I69" s="73" t="s">
        <v>114</v>
      </c>
      <c r="J69" s="194"/>
      <c r="K69" s="141" t="s">
        <v>202</v>
      </c>
      <c r="L69" s="309" t="s">
        <v>20</v>
      </c>
      <c r="M69" s="309" t="s">
        <v>20</v>
      </c>
      <c r="N69" s="309" t="s">
        <v>20</v>
      </c>
      <c r="O69" s="194"/>
      <c r="P69" s="273">
        <v>21</v>
      </c>
      <c r="Q69" s="194"/>
      <c r="R69" s="141"/>
      <c r="S69" s="237"/>
      <c r="T69" s="141">
        <v>1</v>
      </c>
      <c r="U69" s="237">
        <f t="shared" si="41"/>
        <v>0</v>
      </c>
      <c r="V69" s="282"/>
      <c r="W69" s="73" t="s">
        <v>54</v>
      </c>
      <c r="X69" s="73" t="s">
        <v>116</v>
      </c>
      <c r="Y69" s="74" t="s">
        <v>128</v>
      </c>
      <c r="Z69" s="153" t="s">
        <v>126</v>
      </c>
      <c r="AA69" s="153" t="s">
        <v>20</v>
      </c>
      <c r="AB69" s="76">
        <v>141062.88</v>
      </c>
      <c r="AC69" s="330">
        <f>AB69</f>
        <v>141062.88</v>
      </c>
      <c r="AD69" s="330"/>
      <c r="AE69" s="330"/>
      <c r="AF69" s="76">
        <f t="shared" si="42"/>
        <v>0</v>
      </c>
      <c r="AG69" s="153"/>
      <c r="AH69" s="75">
        <f>70531.44-70531.44</f>
        <v>0</v>
      </c>
      <c r="AI69" s="75"/>
      <c r="AJ69" s="75">
        <f>70531.44-70531.44</f>
        <v>0</v>
      </c>
      <c r="AK69" s="75"/>
      <c r="AL69" s="75"/>
      <c r="AM69" s="153"/>
      <c r="AN69" s="153"/>
      <c r="AO69" s="153"/>
      <c r="AP69" s="162"/>
    </row>
    <row r="70" spans="1:42" s="13" customFormat="1" ht="140.25" customHeight="1" x14ac:dyDescent="0.45">
      <c r="A70" s="73" t="s">
        <v>341</v>
      </c>
      <c r="B70" s="73" t="s">
        <v>113</v>
      </c>
      <c r="C70" s="74" t="s">
        <v>101</v>
      </c>
      <c r="D70" s="74" t="s">
        <v>130</v>
      </c>
      <c r="E70" s="74" t="s">
        <v>51</v>
      </c>
      <c r="F70" s="74" t="s">
        <v>52</v>
      </c>
      <c r="G70" s="74"/>
      <c r="H70" s="121" t="s">
        <v>347</v>
      </c>
      <c r="I70" s="73" t="s">
        <v>114</v>
      </c>
      <c r="J70" s="194"/>
      <c r="K70" s="141" t="s">
        <v>202</v>
      </c>
      <c r="L70" s="309" t="s">
        <v>20</v>
      </c>
      <c r="M70" s="309" t="s">
        <v>20</v>
      </c>
      <c r="N70" s="309" t="s">
        <v>20</v>
      </c>
      <c r="O70" s="194"/>
      <c r="P70" s="273">
        <v>21</v>
      </c>
      <c r="Q70" s="194"/>
      <c r="R70" s="141"/>
      <c r="S70" s="237"/>
      <c r="T70" s="141">
        <v>1</v>
      </c>
      <c r="U70" s="237">
        <f t="shared" si="41"/>
        <v>149015.64000000001</v>
      </c>
      <c r="V70" s="282"/>
      <c r="W70" s="73" t="s">
        <v>54</v>
      </c>
      <c r="X70" s="73" t="s">
        <v>116</v>
      </c>
      <c r="Y70" s="74" t="s">
        <v>128</v>
      </c>
      <c r="Z70" s="153" t="s">
        <v>126</v>
      </c>
      <c r="AA70" s="153" t="s">
        <v>20</v>
      </c>
      <c r="AB70" s="76">
        <v>0</v>
      </c>
      <c r="AC70" s="330"/>
      <c r="AD70" s="330"/>
      <c r="AE70" s="330">
        <v>149015.64000000001</v>
      </c>
      <c r="AF70" s="76">
        <f t="shared" si="42"/>
        <v>149015.64000000001</v>
      </c>
      <c r="AG70" s="153"/>
      <c r="AH70" s="75">
        <v>74507.820000000007</v>
      </c>
      <c r="AI70" s="75"/>
      <c r="AJ70" s="75">
        <v>74507.820000000007</v>
      </c>
      <c r="AK70" s="75"/>
      <c r="AL70" s="75"/>
      <c r="AM70" s="153"/>
      <c r="AN70" s="153"/>
      <c r="AO70" s="153"/>
      <c r="AP70" s="162"/>
    </row>
    <row r="71" spans="1:42" s="13" customFormat="1" ht="140.25" customHeight="1" x14ac:dyDescent="0.45">
      <c r="A71" s="73" t="s">
        <v>182</v>
      </c>
      <c r="B71" s="73" t="s">
        <v>113</v>
      </c>
      <c r="C71" s="74" t="s">
        <v>101</v>
      </c>
      <c r="D71" s="74" t="s">
        <v>130</v>
      </c>
      <c r="E71" s="74" t="s">
        <v>51</v>
      </c>
      <c r="F71" s="74" t="s">
        <v>52</v>
      </c>
      <c r="G71" s="74"/>
      <c r="H71" s="121" t="s">
        <v>176</v>
      </c>
      <c r="I71" s="73" t="s">
        <v>158</v>
      </c>
      <c r="J71" s="194"/>
      <c r="K71" s="141" t="s">
        <v>202</v>
      </c>
      <c r="L71" s="309" t="s">
        <v>20</v>
      </c>
      <c r="M71" s="309" t="s">
        <v>20</v>
      </c>
      <c r="N71" s="309" t="s">
        <v>20</v>
      </c>
      <c r="O71" s="194"/>
      <c r="P71" s="273">
        <v>25</v>
      </c>
      <c r="Q71" s="194"/>
      <c r="R71" s="141"/>
      <c r="S71" s="237"/>
      <c r="T71" s="141">
        <v>1</v>
      </c>
      <c r="U71" s="237">
        <f t="shared" si="41"/>
        <v>0</v>
      </c>
      <c r="V71" s="282"/>
      <c r="W71" s="73" t="s">
        <v>54</v>
      </c>
      <c r="X71" s="73" t="s">
        <v>116</v>
      </c>
      <c r="Y71" s="74" t="s">
        <v>127</v>
      </c>
      <c r="Z71" s="153" t="s">
        <v>193</v>
      </c>
      <c r="AA71" s="153" t="s">
        <v>20</v>
      </c>
      <c r="AB71" s="76">
        <v>316891.68</v>
      </c>
      <c r="AC71" s="330">
        <f>AB71</f>
        <v>316891.68</v>
      </c>
      <c r="AD71" s="330"/>
      <c r="AE71" s="330"/>
      <c r="AF71" s="76">
        <f t="shared" si="42"/>
        <v>0</v>
      </c>
      <c r="AG71" s="153"/>
      <c r="AH71" s="75">
        <f>158445.84-158445.84</f>
        <v>0</v>
      </c>
      <c r="AI71" s="75"/>
      <c r="AJ71" s="75">
        <f>158445.84-158445.84</f>
        <v>0</v>
      </c>
      <c r="AK71" s="75"/>
      <c r="AL71" s="75"/>
      <c r="AM71" s="153"/>
      <c r="AN71" s="153"/>
      <c r="AO71" s="153"/>
      <c r="AP71" s="162"/>
    </row>
    <row r="72" spans="1:42" s="13" customFormat="1" ht="140.25" customHeight="1" x14ac:dyDescent="0.45">
      <c r="A72" s="73" t="s">
        <v>342</v>
      </c>
      <c r="B72" s="73" t="s">
        <v>113</v>
      </c>
      <c r="C72" s="74" t="s">
        <v>101</v>
      </c>
      <c r="D72" s="74" t="s">
        <v>130</v>
      </c>
      <c r="E72" s="74" t="s">
        <v>51</v>
      </c>
      <c r="F72" s="74" t="s">
        <v>52</v>
      </c>
      <c r="G72" s="74"/>
      <c r="H72" s="121" t="s">
        <v>348</v>
      </c>
      <c r="I72" s="73" t="s">
        <v>349</v>
      </c>
      <c r="J72" s="194"/>
      <c r="K72" s="141" t="s">
        <v>202</v>
      </c>
      <c r="L72" s="309" t="s">
        <v>20</v>
      </c>
      <c r="M72" s="309" t="s">
        <v>20</v>
      </c>
      <c r="N72" s="309" t="s">
        <v>20</v>
      </c>
      <c r="O72" s="194"/>
      <c r="P72" s="273">
        <v>25</v>
      </c>
      <c r="Q72" s="194"/>
      <c r="R72" s="141"/>
      <c r="S72" s="237"/>
      <c r="T72" s="141">
        <v>1</v>
      </c>
      <c r="U72" s="237">
        <f t="shared" si="41"/>
        <v>327944.55</v>
      </c>
      <c r="V72" s="282"/>
      <c r="W72" s="73" t="s">
        <v>54</v>
      </c>
      <c r="X72" s="73" t="s">
        <v>116</v>
      </c>
      <c r="Y72" s="74" t="s">
        <v>127</v>
      </c>
      <c r="Z72" s="153" t="s">
        <v>193</v>
      </c>
      <c r="AA72" s="153" t="s">
        <v>20</v>
      </c>
      <c r="AB72" s="76">
        <v>0</v>
      </c>
      <c r="AC72" s="330"/>
      <c r="AD72" s="330"/>
      <c r="AE72" s="330">
        <v>327944.55</v>
      </c>
      <c r="AF72" s="76">
        <f t="shared" si="42"/>
        <v>327944.55</v>
      </c>
      <c r="AG72" s="153"/>
      <c r="AH72" s="75">
        <v>163972.26999999999</v>
      </c>
      <c r="AI72" s="75"/>
      <c r="AJ72" s="75">
        <v>163972.28</v>
      </c>
      <c r="AK72" s="75"/>
      <c r="AL72" s="75"/>
      <c r="AM72" s="153"/>
      <c r="AN72" s="153"/>
      <c r="AO72" s="153"/>
      <c r="AP72" s="162"/>
    </row>
    <row r="73" spans="1:42" s="13" customFormat="1" ht="140.25" customHeight="1" x14ac:dyDescent="0.45">
      <c r="A73" s="73" t="s">
        <v>183</v>
      </c>
      <c r="B73" s="73" t="s">
        <v>113</v>
      </c>
      <c r="C73" s="74" t="s">
        <v>101</v>
      </c>
      <c r="D73" s="74" t="s">
        <v>130</v>
      </c>
      <c r="E73" s="74" t="s">
        <v>51</v>
      </c>
      <c r="F73" s="74" t="s">
        <v>52</v>
      </c>
      <c r="G73" s="74"/>
      <c r="H73" s="121" t="s">
        <v>112</v>
      </c>
      <c r="I73" s="73" t="s">
        <v>49</v>
      </c>
      <c r="J73" s="194"/>
      <c r="K73" s="141" t="s">
        <v>202</v>
      </c>
      <c r="L73" s="309" t="s">
        <v>20</v>
      </c>
      <c r="M73" s="309" t="s">
        <v>20</v>
      </c>
      <c r="N73" s="309" t="s">
        <v>20</v>
      </c>
      <c r="O73" s="194"/>
      <c r="P73" s="273">
        <v>36</v>
      </c>
      <c r="Q73" s="194"/>
      <c r="R73" s="141"/>
      <c r="S73" s="237"/>
      <c r="T73" s="141">
        <v>1</v>
      </c>
      <c r="U73" s="237">
        <f t="shared" si="41"/>
        <v>0</v>
      </c>
      <c r="V73" s="282"/>
      <c r="W73" s="73" t="s">
        <v>54</v>
      </c>
      <c r="X73" s="73" t="s">
        <v>116</v>
      </c>
      <c r="Y73" s="74" t="s">
        <v>77</v>
      </c>
      <c r="Z73" s="153" t="s">
        <v>126</v>
      </c>
      <c r="AA73" s="153" t="s">
        <v>20</v>
      </c>
      <c r="AB73" s="76">
        <v>556546.6</v>
      </c>
      <c r="AC73" s="330">
        <f>AB73</f>
        <v>556546.6</v>
      </c>
      <c r="AD73" s="330"/>
      <c r="AE73" s="330"/>
      <c r="AF73" s="76">
        <f t="shared" si="42"/>
        <v>0</v>
      </c>
      <c r="AG73" s="153"/>
      <c r="AH73" s="75">
        <f>479462.07-479462.07</f>
        <v>0</v>
      </c>
      <c r="AI73" s="75"/>
      <c r="AJ73" s="75">
        <f>77084.53-77084.53</f>
        <v>0</v>
      </c>
      <c r="AK73" s="75"/>
      <c r="AL73" s="75"/>
      <c r="AM73" s="153"/>
      <c r="AN73" s="153"/>
      <c r="AO73" s="153"/>
      <c r="AP73" s="162"/>
    </row>
    <row r="74" spans="1:42" s="13" customFormat="1" ht="140.25" customHeight="1" x14ac:dyDescent="0.45">
      <c r="A74" s="73" t="s">
        <v>343</v>
      </c>
      <c r="B74" s="73" t="s">
        <v>113</v>
      </c>
      <c r="C74" s="74" t="s">
        <v>101</v>
      </c>
      <c r="D74" s="74" t="s">
        <v>130</v>
      </c>
      <c r="E74" s="74" t="s">
        <v>51</v>
      </c>
      <c r="F74" s="74" t="s">
        <v>52</v>
      </c>
      <c r="G74" s="74"/>
      <c r="H74" s="121" t="s">
        <v>350</v>
      </c>
      <c r="I74" s="73" t="s">
        <v>49</v>
      </c>
      <c r="J74" s="194"/>
      <c r="K74" s="141" t="s">
        <v>202</v>
      </c>
      <c r="L74" s="309" t="s">
        <v>20</v>
      </c>
      <c r="M74" s="309" t="s">
        <v>20</v>
      </c>
      <c r="N74" s="309" t="s">
        <v>20</v>
      </c>
      <c r="O74" s="194"/>
      <c r="P74" s="273">
        <v>36</v>
      </c>
      <c r="Q74" s="194"/>
      <c r="R74" s="141"/>
      <c r="S74" s="237"/>
      <c r="T74" s="141">
        <v>1</v>
      </c>
      <c r="U74" s="237">
        <f t="shared" si="41"/>
        <v>565918.91</v>
      </c>
      <c r="V74" s="282"/>
      <c r="W74" s="73" t="s">
        <v>54</v>
      </c>
      <c r="X74" s="73" t="s">
        <v>116</v>
      </c>
      <c r="Y74" s="74" t="s">
        <v>77</v>
      </c>
      <c r="Z74" s="153" t="s">
        <v>126</v>
      </c>
      <c r="AA74" s="153" t="s">
        <v>20</v>
      </c>
      <c r="AB74" s="76">
        <v>0</v>
      </c>
      <c r="AC74" s="330"/>
      <c r="AD74" s="330"/>
      <c r="AE74" s="330">
        <v>565918.91</v>
      </c>
      <c r="AF74" s="76">
        <f t="shared" si="42"/>
        <v>565918.91</v>
      </c>
      <c r="AG74" s="153"/>
      <c r="AH74" s="75">
        <v>500687.15</v>
      </c>
      <c r="AI74" s="75"/>
      <c r="AJ74" s="75">
        <v>65231.76</v>
      </c>
      <c r="AK74" s="75"/>
      <c r="AL74" s="75"/>
      <c r="AM74" s="153"/>
      <c r="AN74" s="153"/>
      <c r="AO74" s="153"/>
      <c r="AP74" s="162"/>
    </row>
    <row r="75" spans="1:42" s="13" customFormat="1" ht="140.25" customHeight="1" x14ac:dyDescent="0.45">
      <c r="A75" s="73" t="s">
        <v>184</v>
      </c>
      <c r="B75" s="73" t="s">
        <v>113</v>
      </c>
      <c r="C75" s="74" t="s">
        <v>101</v>
      </c>
      <c r="D75" s="74" t="s">
        <v>130</v>
      </c>
      <c r="E75" s="74" t="s">
        <v>51</v>
      </c>
      <c r="F75" s="74" t="s">
        <v>52</v>
      </c>
      <c r="G75" s="74"/>
      <c r="H75" s="121" t="s">
        <v>177</v>
      </c>
      <c r="I75" s="73" t="s">
        <v>95</v>
      </c>
      <c r="J75" s="194"/>
      <c r="K75" s="141" t="s">
        <v>202</v>
      </c>
      <c r="L75" s="309" t="s">
        <v>20</v>
      </c>
      <c r="M75" s="309" t="s">
        <v>20</v>
      </c>
      <c r="N75" s="309" t="s">
        <v>20</v>
      </c>
      <c r="O75" s="194"/>
      <c r="P75" s="273">
        <v>20</v>
      </c>
      <c r="Q75" s="194"/>
      <c r="R75" s="141"/>
      <c r="S75" s="237"/>
      <c r="T75" s="141">
        <v>1</v>
      </c>
      <c r="U75" s="237">
        <f t="shared" si="41"/>
        <v>0</v>
      </c>
      <c r="V75" s="282"/>
      <c r="W75" s="73" t="s">
        <v>54</v>
      </c>
      <c r="X75" s="73" t="s">
        <v>116</v>
      </c>
      <c r="Y75" s="74" t="s">
        <v>129</v>
      </c>
      <c r="Z75" s="153" t="s">
        <v>126</v>
      </c>
      <c r="AA75" s="153" t="s">
        <v>20</v>
      </c>
      <c r="AB75" s="76">
        <v>365971.9</v>
      </c>
      <c r="AC75" s="330">
        <f>AB75</f>
        <v>365971.9</v>
      </c>
      <c r="AD75" s="330"/>
      <c r="AE75" s="330"/>
      <c r="AF75" s="76">
        <f t="shared" si="42"/>
        <v>0</v>
      </c>
      <c r="AG75" s="153"/>
      <c r="AH75" s="75">
        <f>182985.95-182985.95</f>
        <v>0</v>
      </c>
      <c r="AI75" s="75"/>
      <c r="AJ75" s="75">
        <f>182985.95-182985.95</f>
        <v>0</v>
      </c>
      <c r="AK75" s="75"/>
      <c r="AL75" s="75"/>
      <c r="AM75" s="153"/>
      <c r="AN75" s="153"/>
      <c r="AO75" s="153"/>
      <c r="AP75" s="162"/>
    </row>
    <row r="76" spans="1:42" s="13" customFormat="1" ht="140.25" customHeight="1" x14ac:dyDescent="0.45">
      <c r="A76" s="73" t="s">
        <v>344</v>
      </c>
      <c r="B76" s="73" t="s">
        <v>113</v>
      </c>
      <c r="C76" s="74" t="s">
        <v>101</v>
      </c>
      <c r="D76" s="74" t="s">
        <v>130</v>
      </c>
      <c r="E76" s="74" t="s">
        <v>51</v>
      </c>
      <c r="F76" s="74" t="s">
        <v>52</v>
      </c>
      <c r="G76" s="74"/>
      <c r="H76" s="121" t="s">
        <v>351</v>
      </c>
      <c r="I76" s="73" t="s">
        <v>352</v>
      </c>
      <c r="J76" s="194"/>
      <c r="K76" s="141" t="s">
        <v>202</v>
      </c>
      <c r="L76" s="309" t="s">
        <v>20</v>
      </c>
      <c r="M76" s="309" t="s">
        <v>20</v>
      </c>
      <c r="N76" s="309" t="s">
        <v>20</v>
      </c>
      <c r="O76" s="194"/>
      <c r="P76" s="273">
        <v>20</v>
      </c>
      <c r="Q76" s="194"/>
      <c r="R76" s="141"/>
      <c r="S76" s="237"/>
      <c r="T76" s="141">
        <v>1</v>
      </c>
      <c r="U76" s="237">
        <f t="shared" si="41"/>
        <v>378349.74</v>
      </c>
      <c r="V76" s="282"/>
      <c r="W76" s="73" t="s">
        <v>54</v>
      </c>
      <c r="X76" s="73" t="s">
        <v>116</v>
      </c>
      <c r="Y76" s="74" t="s">
        <v>129</v>
      </c>
      <c r="Z76" s="153" t="s">
        <v>126</v>
      </c>
      <c r="AA76" s="153" t="s">
        <v>20</v>
      </c>
      <c r="AB76" s="76">
        <v>0</v>
      </c>
      <c r="AC76" s="330"/>
      <c r="AD76" s="330"/>
      <c r="AE76" s="330">
        <v>378349.74</v>
      </c>
      <c r="AF76" s="76">
        <f t="shared" si="42"/>
        <v>378349.74</v>
      </c>
      <c r="AG76" s="153"/>
      <c r="AH76" s="75">
        <v>189174.87</v>
      </c>
      <c r="AI76" s="75"/>
      <c r="AJ76" s="75">
        <v>189174.87</v>
      </c>
      <c r="AK76" s="75"/>
      <c r="AL76" s="75"/>
      <c r="AM76" s="153"/>
      <c r="AN76" s="153"/>
      <c r="AO76" s="153"/>
      <c r="AP76" s="162"/>
    </row>
    <row r="77" spans="1:42" s="13" customFormat="1" ht="140.25" customHeight="1" x14ac:dyDescent="0.45">
      <c r="A77" s="73" t="s">
        <v>277</v>
      </c>
      <c r="B77" s="73" t="s">
        <v>113</v>
      </c>
      <c r="C77" s="74" t="s">
        <v>101</v>
      </c>
      <c r="D77" s="74" t="s">
        <v>130</v>
      </c>
      <c r="E77" s="74" t="s">
        <v>51</v>
      </c>
      <c r="F77" s="74" t="s">
        <v>52</v>
      </c>
      <c r="G77" s="74"/>
      <c r="H77" s="121" t="s">
        <v>111</v>
      </c>
      <c r="I77" s="73" t="s">
        <v>49</v>
      </c>
      <c r="J77" s="194"/>
      <c r="K77" s="141" t="s">
        <v>202</v>
      </c>
      <c r="L77" s="309" t="s">
        <v>20</v>
      </c>
      <c r="M77" s="309" t="s">
        <v>20</v>
      </c>
      <c r="N77" s="309" t="s">
        <v>20</v>
      </c>
      <c r="O77" s="194"/>
      <c r="P77" s="273">
        <v>27</v>
      </c>
      <c r="Q77" s="194"/>
      <c r="R77" s="141"/>
      <c r="S77" s="237"/>
      <c r="T77" s="141">
        <v>1</v>
      </c>
      <c r="U77" s="237">
        <f t="shared" si="41"/>
        <v>0</v>
      </c>
      <c r="V77" s="282"/>
      <c r="W77" s="73" t="s">
        <v>54</v>
      </c>
      <c r="X77" s="73" t="s">
        <v>116</v>
      </c>
      <c r="Y77" s="74" t="s">
        <v>77</v>
      </c>
      <c r="Z77" s="153" t="s">
        <v>126</v>
      </c>
      <c r="AA77" s="153" t="s">
        <v>20</v>
      </c>
      <c r="AB77" s="76">
        <v>467149.4</v>
      </c>
      <c r="AC77" s="330">
        <f>AB77</f>
        <v>467149.4</v>
      </c>
      <c r="AD77" s="330"/>
      <c r="AE77" s="330"/>
      <c r="AF77" s="76">
        <f t="shared" si="42"/>
        <v>0</v>
      </c>
      <c r="AG77" s="153"/>
      <c r="AH77" s="75">
        <f>233574.7-233574.7</f>
        <v>0</v>
      </c>
      <c r="AI77" s="153">
        <f>233574.7-233574.7</f>
        <v>0</v>
      </c>
      <c r="AJ77" s="75"/>
      <c r="AK77" s="75"/>
      <c r="AL77" s="75"/>
      <c r="AM77" s="153"/>
      <c r="AN77" s="153"/>
      <c r="AO77" s="153"/>
      <c r="AP77" s="162"/>
    </row>
    <row r="78" spans="1:42" s="13" customFormat="1" ht="140.25" customHeight="1" x14ac:dyDescent="0.45">
      <c r="A78" s="73" t="s">
        <v>345</v>
      </c>
      <c r="B78" s="73" t="s">
        <v>113</v>
      </c>
      <c r="C78" s="74" t="s">
        <v>101</v>
      </c>
      <c r="D78" s="74" t="s">
        <v>130</v>
      </c>
      <c r="E78" s="74" t="s">
        <v>51</v>
      </c>
      <c r="F78" s="74" t="s">
        <v>52</v>
      </c>
      <c r="G78" s="74"/>
      <c r="H78" s="121" t="s">
        <v>353</v>
      </c>
      <c r="I78" s="73" t="s">
        <v>49</v>
      </c>
      <c r="J78" s="194"/>
      <c r="K78" s="141" t="s">
        <v>202</v>
      </c>
      <c r="L78" s="309" t="s">
        <v>20</v>
      </c>
      <c r="M78" s="309" t="s">
        <v>20</v>
      </c>
      <c r="N78" s="309" t="s">
        <v>20</v>
      </c>
      <c r="O78" s="194"/>
      <c r="P78" s="273">
        <v>27</v>
      </c>
      <c r="Q78" s="194"/>
      <c r="R78" s="141"/>
      <c r="S78" s="237"/>
      <c r="T78" s="141">
        <v>1</v>
      </c>
      <c r="U78" s="237">
        <f t="shared" si="41"/>
        <v>481346.66</v>
      </c>
      <c r="V78" s="282"/>
      <c r="W78" s="73" t="s">
        <v>54</v>
      </c>
      <c r="X78" s="73" t="s">
        <v>116</v>
      </c>
      <c r="Y78" s="74" t="s">
        <v>77</v>
      </c>
      <c r="Z78" s="153" t="s">
        <v>126</v>
      </c>
      <c r="AA78" s="153" t="s">
        <v>20</v>
      </c>
      <c r="AB78" s="76">
        <v>0</v>
      </c>
      <c r="AC78" s="330"/>
      <c r="AD78" s="330"/>
      <c r="AE78" s="330">
        <v>481346.66</v>
      </c>
      <c r="AF78" s="76">
        <f t="shared" si="42"/>
        <v>481346.66</v>
      </c>
      <c r="AG78" s="153"/>
      <c r="AH78" s="75"/>
      <c r="AI78" s="153">
        <v>424243.14999999997</v>
      </c>
      <c r="AJ78" s="75">
        <v>57103.510000000009</v>
      </c>
      <c r="AK78" s="75"/>
      <c r="AL78" s="75"/>
      <c r="AM78" s="153"/>
      <c r="AN78" s="153"/>
      <c r="AO78" s="153"/>
      <c r="AP78" s="162"/>
    </row>
    <row r="79" spans="1:42" s="13" customFormat="1" ht="221.25" customHeight="1" x14ac:dyDescent="0.45">
      <c r="A79" s="73" t="s">
        <v>278</v>
      </c>
      <c r="B79" s="73" t="s">
        <v>113</v>
      </c>
      <c r="C79" s="74" t="s">
        <v>76</v>
      </c>
      <c r="D79" s="74" t="s">
        <v>130</v>
      </c>
      <c r="E79" s="74" t="s">
        <v>51</v>
      </c>
      <c r="F79" s="74" t="s">
        <v>52</v>
      </c>
      <c r="G79" s="74"/>
      <c r="H79" s="121" t="s">
        <v>260</v>
      </c>
      <c r="I79" s="73" t="s">
        <v>267</v>
      </c>
      <c r="J79" s="194"/>
      <c r="K79" s="141" t="s">
        <v>202</v>
      </c>
      <c r="L79" s="309" t="s">
        <v>20</v>
      </c>
      <c r="M79" s="309" t="s">
        <v>20</v>
      </c>
      <c r="N79" s="309" t="s">
        <v>20</v>
      </c>
      <c r="O79" s="194"/>
      <c r="P79" s="273">
        <v>40</v>
      </c>
      <c r="Q79" s="194"/>
      <c r="R79" s="141"/>
      <c r="S79" s="237"/>
      <c r="T79" s="141">
        <v>1</v>
      </c>
      <c r="U79" s="237">
        <f t="shared" si="41"/>
        <v>0</v>
      </c>
      <c r="V79" s="282"/>
      <c r="W79" s="73" t="s">
        <v>44</v>
      </c>
      <c r="X79" s="73" t="s">
        <v>116</v>
      </c>
      <c r="Y79" s="152" t="s">
        <v>57</v>
      </c>
      <c r="Z79" s="153" t="s">
        <v>25</v>
      </c>
      <c r="AA79" s="153" t="s">
        <v>20</v>
      </c>
      <c r="AB79" s="76">
        <v>416494.06</v>
      </c>
      <c r="AC79" s="330">
        <f>AB79</f>
        <v>416494.06</v>
      </c>
      <c r="AD79" s="330"/>
      <c r="AE79" s="330"/>
      <c r="AF79" s="76">
        <f t="shared" si="42"/>
        <v>0</v>
      </c>
      <c r="AG79" s="153"/>
      <c r="AH79" s="153"/>
      <c r="AI79" s="153">
        <f>416494.06-416494.06</f>
        <v>0</v>
      </c>
      <c r="AJ79" s="153"/>
      <c r="AK79" s="153"/>
      <c r="AL79" s="75"/>
      <c r="AM79" s="75"/>
      <c r="AN79" s="75"/>
      <c r="AO79" s="75"/>
      <c r="AP79" s="162"/>
    </row>
    <row r="80" spans="1:42" s="13" customFormat="1" ht="155.25" customHeight="1" x14ac:dyDescent="0.45">
      <c r="A80" s="73" t="s">
        <v>354</v>
      </c>
      <c r="B80" s="73" t="s">
        <v>113</v>
      </c>
      <c r="C80" s="74" t="s">
        <v>101</v>
      </c>
      <c r="D80" s="74" t="s">
        <v>130</v>
      </c>
      <c r="E80" s="74" t="s">
        <v>51</v>
      </c>
      <c r="F80" s="74" t="s">
        <v>52</v>
      </c>
      <c r="G80" s="74"/>
      <c r="H80" s="121" t="s">
        <v>355</v>
      </c>
      <c r="I80" s="73" t="s">
        <v>352</v>
      </c>
      <c r="J80" s="194"/>
      <c r="K80" s="141"/>
      <c r="L80" s="309"/>
      <c r="M80" s="309"/>
      <c r="N80" s="309"/>
      <c r="O80" s="194"/>
      <c r="P80" s="273"/>
      <c r="Q80" s="194"/>
      <c r="R80" s="141"/>
      <c r="S80" s="237"/>
      <c r="T80" s="141"/>
      <c r="U80" s="237"/>
      <c r="V80" s="282"/>
      <c r="W80" s="73" t="s">
        <v>54</v>
      </c>
      <c r="X80" s="73" t="s">
        <v>116</v>
      </c>
      <c r="Y80" s="152"/>
      <c r="Z80" s="153" t="s">
        <v>126</v>
      </c>
      <c r="AA80" s="153" t="s">
        <v>20</v>
      </c>
      <c r="AB80" s="76">
        <v>0</v>
      </c>
      <c r="AC80" s="330"/>
      <c r="AD80" s="330"/>
      <c r="AE80" s="330">
        <v>392285.58999999997</v>
      </c>
      <c r="AF80" s="76">
        <f t="shared" si="42"/>
        <v>392285.58999999997</v>
      </c>
      <c r="AG80" s="153"/>
      <c r="AH80" s="153">
        <v>257600.37</v>
      </c>
      <c r="AI80" s="153">
        <v>134685.22</v>
      </c>
      <c r="AJ80" s="153"/>
      <c r="AK80" s="153"/>
      <c r="AL80" s="75"/>
      <c r="AM80" s="75"/>
      <c r="AN80" s="75"/>
      <c r="AO80" s="75"/>
      <c r="AP80" s="162"/>
    </row>
    <row r="81" spans="1:42" s="13" customFormat="1" ht="63" customHeight="1" x14ac:dyDescent="0.55000000000000004">
      <c r="A81" s="14"/>
      <c r="B81" s="14"/>
      <c r="C81" s="259"/>
      <c r="D81" s="14"/>
      <c r="E81" s="14"/>
      <c r="F81" s="14"/>
      <c r="G81" s="14"/>
      <c r="H81" s="14"/>
      <c r="I81" s="15"/>
      <c r="K81" s="288"/>
      <c r="L81" s="299"/>
      <c r="M81" s="299"/>
      <c r="N81" s="299"/>
      <c r="O81" s="288"/>
      <c r="P81" s="315">
        <f>SUM(P67:P75)</f>
        <v>204</v>
      </c>
      <c r="Q81" s="202"/>
      <c r="R81" s="151">
        <f>SUM(R67:R80)</f>
        <v>0</v>
      </c>
      <c r="S81" s="89">
        <f>SUM(S67:S80)</f>
        <v>0</v>
      </c>
      <c r="T81" s="151">
        <f>SUM(T67:T80)</f>
        <v>13</v>
      </c>
      <c r="U81" s="89">
        <f>SUM(U67:U80)</f>
        <v>2130690.54</v>
      </c>
      <c r="V81" s="207"/>
      <c r="W81" s="201"/>
      <c r="X81" s="15"/>
      <c r="Y81" s="14"/>
      <c r="Z81" s="15"/>
      <c r="AA81" s="15"/>
      <c r="AB81" s="89">
        <f>SUM(AB67:AB80)</f>
        <v>2614116.52</v>
      </c>
      <c r="AC81" s="238">
        <f>SUM(AC67:AC80)</f>
        <v>2614116.52</v>
      </c>
      <c r="AD81" s="238">
        <f t="shared" ref="AD81" si="43">SUM(AD67:AD80)</f>
        <v>0</v>
      </c>
      <c r="AE81" s="238">
        <f>SUM(AE67:AE80)</f>
        <v>2522976.13</v>
      </c>
      <c r="AF81" s="89">
        <f>SUM(AF67:AF80)</f>
        <v>2522976.13</v>
      </c>
      <c r="AG81" s="89">
        <f t="shared" ref="AG81:AO81" si="44">SUM(AG67:AG80)</f>
        <v>0</v>
      </c>
      <c r="AH81" s="89">
        <f t="shared" si="44"/>
        <v>1300000</v>
      </c>
      <c r="AI81" s="89">
        <f t="shared" si="44"/>
        <v>558928.37</v>
      </c>
      <c r="AJ81" s="89">
        <f t="shared" si="44"/>
        <v>664047.76</v>
      </c>
      <c r="AK81" s="89">
        <f t="shared" si="44"/>
        <v>0</v>
      </c>
      <c r="AL81" s="89">
        <f t="shared" si="44"/>
        <v>0</v>
      </c>
      <c r="AM81" s="89">
        <f t="shared" si="44"/>
        <v>0</v>
      </c>
      <c r="AN81" s="89">
        <f t="shared" si="44"/>
        <v>0</v>
      </c>
      <c r="AO81" s="89">
        <f t="shared" si="44"/>
        <v>0</v>
      </c>
      <c r="AP81" s="294" t="e">
        <f>SUM(#REF!)</f>
        <v>#REF!</v>
      </c>
    </row>
    <row r="82" spans="1:42" s="96" customFormat="1" ht="24" customHeight="1" x14ac:dyDescent="0.55000000000000004">
      <c r="A82" s="90"/>
      <c r="B82" s="91"/>
      <c r="C82" s="91"/>
      <c r="D82" s="91"/>
      <c r="E82" s="91"/>
      <c r="F82" s="91"/>
      <c r="G82" s="91"/>
      <c r="H82" s="18"/>
      <c r="I82" s="171"/>
      <c r="J82" s="195"/>
      <c r="K82" s="143"/>
      <c r="L82" s="303"/>
      <c r="M82" s="303"/>
      <c r="N82" s="303"/>
      <c r="O82" s="195"/>
      <c r="P82" s="211"/>
      <c r="Q82" s="195"/>
      <c r="R82" s="211"/>
      <c r="S82" s="240"/>
      <c r="T82" s="211"/>
      <c r="U82" s="240"/>
      <c r="V82" s="143"/>
      <c r="W82" s="92"/>
      <c r="X82" s="92"/>
      <c r="Y82" s="94"/>
      <c r="Z82" s="91"/>
      <c r="AA82" s="92"/>
      <c r="AB82" s="93"/>
      <c r="AC82" s="332"/>
      <c r="AD82" s="332"/>
      <c r="AE82" s="332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120"/>
    </row>
    <row r="83" spans="1:42" s="22" customFormat="1" ht="67.5" customHeight="1" x14ac:dyDescent="0.55000000000000004">
      <c r="A83" s="27"/>
      <c r="B83" s="27"/>
      <c r="C83" s="27"/>
      <c r="D83" s="27"/>
      <c r="E83" s="27"/>
      <c r="F83" s="27"/>
      <c r="G83" s="27"/>
      <c r="H83" s="28"/>
      <c r="I83" s="196"/>
      <c r="J83" s="196"/>
      <c r="K83" s="196"/>
      <c r="L83" s="301"/>
      <c r="M83" s="301"/>
      <c r="N83" s="301"/>
      <c r="O83" s="196"/>
      <c r="P83" s="167">
        <f>P81</f>
        <v>204</v>
      </c>
      <c r="Q83" s="196"/>
      <c r="R83" s="167">
        <f>R81</f>
        <v>0</v>
      </c>
      <c r="S83" s="133">
        <f t="shared" ref="S83" si="45">S81</f>
        <v>0</v>
      </c>
      <c r="T83" s="167">
        <f>T81</f>
        <v>13</v>
      </c>
      <c r="U83" s="133">
        <f t="shared" ref="U83" si="46">U81</f>
        <v>2130690.54</v>
      </c>
      <c r="V83" s="196"/>
      <c r="W83" s="337" t="s">
        <v>22</v>
      </c>
      <c r="X83" s="338"/>
      <c r="Y83" s="338"/>
      <c r="Z83" s="338"/>
      <c r="AA83" s="183"/>
      <c r="AB83" s="133">
        <f t="shared" ref="AB83:AE83" si="47">AB81</f>
        <v>2614116.52</v>
      </c>
      <c r="AC83" s="133">
        <f t="shared" si="47"/>
        <v>2614116.52</v>
      </c>
      <c r="AD83" s="133">
        <f t="shared" si="47"/>
        <v>0</v>
      </c>
      <c r="AE83" s="133">
        <f t="shared" si="47"/>
        <v>2522976.13</v>
      </c>
      <c r="AF83" s="133">
        <f>AF81</f>
        <v>2522976.13</v>
      </c>
      <c r="AG83" s="133">
        <f t="shared" ref="AG83:AO83" si="48">AG81</f>
        <v>0</v>
      </c>
      <c r="AH83" s="133">
        <f t="shared" si="48"/>
        <v>1300000</v>
      </c>
      <c r="AI83" s="133">
        <f t="shared" si="48"/>
        <v>558928.37</v>
      </c>
      <c r="AJ83" s="133">
        <f t="shared" si="48"/>
        <v>664047.76</v>
      </c>
      <c r="AK83" s="133">
        <f t="shared" si="48"/>
        <v>0</v>
      </c>
      <c r="AL83" s="133">
        <f t="shared" si="48"/>
        <v>0</v>
      </c>
      <c r="AM83" s="133">
        <f t="shared" si="48"/>
        <v>0</v>
      </c>
      <c r="AN83" s="133">
        <f t="shared" si="48"/>
        <v>0</v>
      </c>
      <c r="AO83" s="133">
        <f t="shared" si="48"/>
        <v>0</v>
      </c>
      <c r="AP83" s="295" t="e">
        <f>#REF!+#REF!</f>
        <v>#REF!</v>
      </c>
    </row>
    <row r="84" spans="1:42" s="13" customFormat="1" ht="27" customHeight="1" x14ac:dyDescent="0.55000000000000004">
      <c r="A84" s="16"/>
      <c r="B84" s="17"/>
      <c r="C84" s="17"/>
      <c r="D84" s="17"/>
      <c r="E84" s="17"/>
      <c r="F84" s="17"/>
      <c r="G84" s="17"/>
      <c r="H84" s="18"/>
      <c r="I84" s="19"/>
      <c r="J84" s="195"/>
      <c r="K84" s="195"/>
      <c r="L84" s="300"/>
      <c r="M84" s="300"/>
      <c r="N84" s="300"/>
      <c r="O84" s="195"/>
      <c r="P84" s="142"/>
      <c r="Q84" s="195"/>
      <c r="R84" s="142"/>
      <c r="S84" s="239"/>
      <c r="T84" s="142"/>
      <c r="U84" s="239"/>
      <c r="V84" s="195"/>
      <c r="W84" s="18"/>
      <c r="X84" s="18"/>
      <c r="Y84" s="62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32"/>
    </row>
    <row r="85" spans="1:42" s="96" customFormat="1" x14ac:dyDescent="0.55000000000000004">
      <c r="A85" s="16"/>
      <c r="B85" s="17"/>
      <c r="C85" s="17"/>
      <c r="D85" s="17"/>
      <c r="E85" s="17"/>
      <c r="F85" s="17"/>
      <c r="G85" s="17"/>
      <c r="H85" s="18"/>
      <c r="I85" s="19"/>
      <c r="J85" s="195"/>
      <c r="K85" s="195"/>
      <c r="L85" s="300"/>
      <c r="M85" s="300"/>
      <c r="N85" s="300"/>
      <c r="O85" s="195"/>
      <c r="P85" s="142"/>
      <c r="Q85" s="195"/>
      <c r="R85" s="142"/>
      <c r="S85" s="239"/>
      <c r="T85" s="142"/>
      <c r="U85" s="239"/>
      <c r="V85" s="195"/>
      <c r="W85" s="18"/>
      <c r="X85" s="18"/>
      <c r="Y85" s="62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32"/>
    </row>
    <row r="86" spans="1:42" s="106" customFormat="1" ht="43.5" customHeight="1" x14ac:dyDescent="0.2">
      <c r="A86" s="85" t="s">
        <v>213</v>
      </c>
      <c r="B86" s="105"/>
      <c r="C86" s="105"/>
      <c r="D86" s="105"/>
      <c r="E86" s="105"/>
      <c r="F86" s="105"/>
      <c r="G86" s="105"/>
      <c r="H86" s="105"/>
      <c r="J86" s="139"/>
      <c r="K86" s="143"/>
      <c r="L86" s="303"/>
      <c r="M86" s="303"/>
      <c r="N86" s="303"/>
      <c r="O86" s="139"/>
      <c r="P86" s="139"/>
      <c r="Q86" s="139"/>
      <c r="R86" s="139"/>
      <c r="S86" s="235"/>
      <c r="T86" s="139"/>
      <c r="U86" s="235"/>
      <c r="V86" s="139"/>
      <c r="Y86" s="111"/>
      <c r="Z86" s="60"/>
      <c r="AA86" s="60"/>
      <c r="AB86" s="60"/>
      <c r="AC86" s="107"/>
      <c r="AD86" s="107"/>
      <c r="AE86" s="107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</row>
    <row r="87" spans="1:42" s="13" customFormat="1" ht="241.5" customHeight="1" x14ac:dyDescent="0.45">
      <c r="A87" s="73" t="s">
        <v>279</v>
      </c>
      <c r="B87" s="73" t="s">
        <v>92</v>
      </c>
      <c r="C87" s="74" t="s">
        <v>76</v>
      </c>
      <c r="D87" s="74" t="s">
        <v>20</v>
      </c>
      <c r="E87" s="74" t="s">
        <v>20</v>
      </c>
      <c r="F87" s="74" t="s">
        <v>20</v>
      </c>
      <c r="G87" s="74"/>
      <c r="H87" s="74" t="s">
        <v>173</v>
      </c>
      <c r="I87" s="121" t="s">
        <v>43</v>
      </c>
      <c r="J87" s="197"/>
      <c r="K87" s="290" t="s">
        <v>241</v>
      </c>
      <c r="L87" s="310">
        <v>43159</v>
      </c>
      <c r="M87" s="310">
        <v>43166</v>
      </c>
      <c r="N87" s="310" t="s">
        <v>243</v>
      </c>
      <c r="O87" s="197"/>
      <c r="P87" s="274"/>
      <c r="Q87" s="197"/>
      <c r="R87" s="141">
        <v>1</v>
      </c>
      <c r="S87" s="237">
        <f>AF87</f>
        <v>2066143.56</v>
      </c>
      <c r="T87" s="144"/>
      <c r="U87" s="237"/>
      <c r="V87" s="283"/>
      <c r="W87" s="73" t="s">
        <v>44</v>
      </c>
      <c r="X87" s="73" t="s">
        <v>21</v>
      </c>
      <c r="Y87" s="152" t="s">
        <v>20</v>
      </c>
      <c r="Z87" s="152" t="s">
        <v>20</v>
      </c>
      <c r="AA87" s="153" t="s">
        <v>24</v>
      </c>
      <c r="AB87" s="76">
        <v>2066143.56</v>
      </c>
      <c r="AC87" s="330"/>
      <c r="AD87" s="330"/>
      <c r="AE87" s="330"/>
      <c r="AF87" s="76">
        <f>SUM(AG87:AO87)</f>
        <v>2066143.56</v>
      </c>
      <c r="AG87" s="153"/>
      <c r="AH87" s="75">
        <v>1033071.78</v>
      </c>
      <c r="AI87" s="75"/>
      <c r="AJ87" s="75"/>
      <c r="AK87" s="153">
        <v>1033071.78</v>
      </c>
      <c r="AL87" s="75"/>
      <c r="AM87" s="153"/>
      <c r="AN87" s="153"/>
      <c r="AO87" s="153"/>
      <c r="AP87" s="162"/>
    </row>
    <row r="88" spans="1:42" s="13" customFormat="1" ht="63" customHeight="1" x14ac:dyDescent="0.55000000000000004">
      <c r="A88" s="14"/>
      <c r="B88" s="14"/>
      <c r="C88" s="14"/>
      <c r="D88" s="14"/>
      <c r="E88" s="14"/>
      <c r="F88" s="14"/>
      <c r="G88" s="14"/>
      <c r="I88" s="15"/>
      <c r="K88" s="288"/>
      <c r="L88" s="299"/>
      <c r="M88" s="299"/>
      <c r="N88" s="299"/>
      <c r="O88" s="288"/>
      <c r="P88" s="315">
        <f>SUM(P87:P87)</f>
        <v>0</v>
      </c>
      <c r="Q88" s="202"/>
      <c r="R88" s="151">
        <f>SUM(R87:R87)</f>
        <v>1</v>
      </c>
      <c r="S88" s="238">
        <f>SUM(S87:S87)</f>
        <v>2066143.56</v>
      </c>
      <c r="T88" s="151">
        <f>SUM(T87:T87)</f>
        <v>0</v>
      </c>
      <c r="U88" s="238">
        <f>SUM(U87:U87)</f>
        <v>0</v>
      </c>
      <c r="V88" s="207"/>
      <c r="W88" s="201"/>
      <c r="X88" s="201"/>
      <c r="Y88" s="208"/>
      <c r="Z88" s="201"/>
      <c r="AA88" s="15"/>
      <c r="AB88" s="89">
        <f t="shared" ref="AB88:AE88" si="49">SUM(AB87:AB87)</f>
        <v>2066143.56</v>
      </c>
      <c r="AC88" s="238">
        <f t="shared" si="49"/>
        <v>0</v>
      </c>
      <c r="AD88" s="238">
        <f t="shared" si="49"/>
        <v>0</v>
      </c>
      <c r="AE88" s="238">
        <f t="shared" si="49"/>
        <v>0</v>
      </c>
      <c r="AF88" s="89">
        <f>SUM(AF87:AF87)</f>
        <v>2066143.56</v>
      </c>
      <c r="AG88" s="89">
        <f t="shared" ref="AG88:AP88" si="50">SUM(AG87:AG87)</f>
        <v>0</v>
      </c>
      <c r="AH88" s="89">
        <f t="shared" si="50"/>
        <v>1033071.78</v>
      </c>
      <c r="AI88" s="89">
        <f t="shared" si="50"/>
        <v>0</v>
      </c>
      <c r="AJ88" s="89">
        <f t="shared" si="50"/>
        <v>0</v>
      </c>
      <c r="AK88" s="89">
        <f t="shared" ref="AK88:AL88" si="51">SUM(AK87:AK87)</f>
        <v>1033071.78</v>
      </c>
      <c r="AL88" s="89">
        <f t="shared" si="51"/>
        <v>0</v>
      </c>
      <c r="AM88" s="89">
        <f t="shared" si="50"/>
        <v>0</v>
      </c>
      <c r="AN88" s="89">
        <f t="shared" si="50"/>
        <v>0</v>
      </c>
      <c r="AO88" s="89">
        <f t="shared" si="50"/>
        <v>0</v>
      </c>
      <c r="AP88" s="294">
        <f t="shared" si="50"/>
        <v>0</v>
      </c>
    </row>
    <row r="89" spans="1:42" s="96" customFormat="1" ht="24" customHeight="1" x14ac:dyDescent="0.55000000000000004">
      <c r="A89" s="90"/>
      <c r="B89" s="91"/>
      <c r="C89" s="91"/>
      <c r="D89" s="91"/>
      <c r="E89" s="91"/>
      <c r="F89" s="91"/>
      <c r="G89" s="91"/>
      <c r="H89" s="18"/>
      <c r="I89" s="171"/>
      <c r="J89" s="195"/>
      <c r="K89" s="143"/>
      <c r="L89" s="303"/>
      <c r="M89" s="303"/>
      <c r="N89" s="303"/>
      <c r="O89" s="195"/>
      <c r="P89" s="211"/>
      <c r="Q89" s="195"/>
      <c r="R89" s="211"/>
      <c r="S89" s="240"/>
      <c r="T89" s="211"/>
      <c r="U89" s="240"/>
      <c r="V89" s="143"/>
      <c r="W89" s="92"/>
      <c r="X89" s="92"/>
      <c r="Y89" s="94"/>
      <c r="Z89" s="91"/>
      <c r="AA89" s="92"/>
      <c r="AB89" s="93"/>
      <c r="AC89" s="332"/>
      <c r="AD89" s="332"/>
      <c r="AE89" s="332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120"/>
    </row>
    <row r="90" spans="1:42" s="22" customFormat="1" ht="67.5" customHeight="1" x14ac:dyDescent="0.55000000000000004">
      <c r="A90" s="27"/>
      <c r="B90" s="27"/>
      <c r="C90" s="27"/>
      <c r="D90" s="27"/>
      <c r="E90" s="27"/>
      <c r="F90" s="27"/>
      <c r="G90" s="27"/>
      <c r="H90" s="28"/>
      <c r="I90" s="196"/>
      <c r="J90" s="196"/>
      <c r="K90" s="196"/>
      <c r="L90" s="301"/>
      <c r="M90" s="301"/>
      <c r="N90" s="301"/>
      <c r="O90" s="196"/>
      <c r="P90" s="167">
        <f>P88</f>
        <v>0</v>
      </c>
      <c r="Q90" s="196"/>
      <c r="R90" s="167">
        <f>R88</f>
        <v>1</v>
      </c>
      <c r="S90" s="133">
        <f>S88</f>
        <v>2066143.56</v>
      </c>
      <c r="T90" s="167">
        <f>T88</f>
        <v>0</v>
      </c>
      <c r="U90" s="133">
        <f>U88</f>
        <v>0</v>
      </c>
      <c r="V90" s="196"/>
      <c r="W90" s="337" t="s">
        <v>22</v>
      </c>
      <c r="X90" s="338"/>
      <c r="Y90" s="338"/>
      <c r="Z90" s="338"/>
      <c r="AA90" s="183"/>
      <c r="AB90" s="133">
        <f t="shared" ref="AB90:AE90" si="52">AB88</f>
        <v>2066143.56</v>
      </c>
      <c r="AC90" s="133">
        <f t="shared" si="52"/>
        <v>0</v>
      </c>
      <c r="AD90" s="133">
        <f t="shared" si="52"/>
        <v>0</v>
      </c>
      <c r="AE90" s="133">
        <f t="shared" si="52"/>
        <v>0</v>
      </c>
      <c r="AF90" s="133">
        <f>AF88</f>
        <v>2066143.56</v>
      </c>
      <c r="AG90" s="133">
        <f t="shared" ref="AG90:AO90" si="53">AG88</f>
        <v>0</v>
      </c>
      <c r="AH90" s="133">
        <f t="shared" si="53"/>
        <v>1033071.78</v>
      </c>
      <c r="AI90" s="133">
        <f t="shared" si="53"/>
        <v>0</v>
      </c>
      <c r="AJ90" s="133">
        <f t="shared" si="53"/>
        <v>0</v>
      </c>
      <c r="AK90" s="133">
        <f t="shared" ref="AK90:AL90" si="54">AK88</f>
        <v>1033071.78</v>
      </c>
      <c r="AL90" s="133">
        <f t="shared" si="54"/>
        <v>0</v>
      </c>
      <c r="AM90" s="133">
        <f t="shared" si="53"/>
        <v>0</v>
      </c>
      <c r="AN90" s="133">
        <f t="shared" si="53"/>
        <v>0</v>
      </c>
      <c r="AO90" s="133">
        <f t="shared" si="53"/>
        <v>0</v>
      </c>
      <c r="AP90" s="295" t="e">
        <f>AP88+#REF!</f>
        <v>#REF!</v>
      </c>
    </row>
    <row r="91" spans="1:42" s="13" customFormat="1" ht="27" customHeight="1" x14ac:dyDescent="0.55000000000000004">
      <c r="A91" s="16"/>
      <c r="B91" s="17"/>
      <c r="C91" s="17"/>
      <c r="D91" s="17"/>
      <c r="E91" s="17"/>
      <c r="F91" s="17"/>
      <c r="G91" s="17"/>
      <c r="H91" s="18"/>
      <c r="I91" s="19"/>
      <c r="J91" s="195"/>
      <c r="K91" s="195"/>
      <c r="L91" s="300"/>
      <c r="M91" s="300"/>
      <c r="N91" s="300"/>
      <c r="O91" s="195"/>
      <c r="P91" s="142"/>
      <c r="Q91" s="195"/>
      <c r="R91" s="142"/>
      <c r="S91" s="239"/>
      <c r="T91" s="142"/>
      <c r="U91" s="239"/>
      <c r="V91" s="195"/>
      <c r="W91" s="18"/>
      <c r="X91" s="18"/>
      <c r="Y91" s="62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32"/>
    </row>
    <row r="92" spans="1:42" s="96" customFormat="1" x14ac:dyDescent="0.55000000000000004">
      <c r="A92" s="16"/>
      <c r="B92" s="17"/>
      <c r="C92" s="17"/>
      <c r="D92" s="17"/>
      <c r="E92" s="17"/>
      <c r="F92" s="17"/>
      <c r="G92" s="17"/>
      <c r="H92" s="18"/>
      <c r="I92" s="19"/>
      <c r="J92" s="195"/>
      <c r="K92" s="195"/>
      <c r="L92" s="300"/>
      <c r="M92" s="300"/>
      <c r="N92" s="300"/>
      <c r="O92" s="195"/>
      <c r="P92" s="142"/>
      <c r="Q92" s="195"/>
      <c r="R92" s="142"/>
      <c r="S92" s="239"/>
      <c r="T92" s="142"/>
      <c r="U92" s="239"/>
      <c r="V92" s="195"/>
      <c r="W92" s="18"/>
      <c r="X92" s="18"/>
      <c r="Y92" s="62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32"/>
    </row>
    <row r="93" spans="1:42" s="85" customFormat="1" ht="43.5" customHeight="1" x14ac:dyDescent="0.2">
      <c r="A93" s="85" t="s">
        <v>88</v>
      </c>
      <c r="B93" s="86"/>
      <c r="C93" s="86"/>
      <c r="D93" s="86"/>
      <c r="E93" s="86"/>
      <c r="F93" s="86"/>
      <c r="G93" s="86"/>
      <c r="H93" s="86"/>
      <c r="K93" s="319"/>
      <c r="L93" s="320"/>
      <c r="M93" s="320"/>
      <c r="N93" s="320"/>
      <c r="R93" s="219"/>
      <c r="T93" s="219"/>
      <c r="Y93" s="87"/>
      <c r="Z93" s="87"/>
      <c r="AA93" s="87"/>
      <c r="AB93" s="87"/>
      <c r="AC93" s="333"/>
      <c r="AD93" s="333"/>
      <c r="AE93" s="333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32" t="e">
        <f>#REF!</f>
        <v>#REF!</v>
      </c>
    </row>
    <row r="94" spans="1:42" s="99" customFormat="1" ht="43.5" customHeight="1" x14ac:dyDescent="0.2">
      <c r="A94" s="97" t="s">
        <v>99</v>
      </c>
      <c r="B94" s="98"/>
      <c r="C94" s="98"/>
      <c r="D94" s="98"/>
      <c r="E94" s="98"/>
      <c r="F94" s="98"/>
      <c r="G94" s="98"/>
      <c r="H94" s="98"/>
      <c r="K94" s="90"/>
      <c r="L94" s="318"/>
      <c r="M94" s="318"/>
      <c r="N94" s="318"/>
      <c r="R94" s="216"/>
      <c r="T94" s="216"/>
      <c r="Y94" s="100"/>
      <c r="Z94" s="100"/>
      <c r="AA94" s="100"/>
      <c r="AB94" s="98"/>
      <c r="AC94" s="100"/>
      <c r="AD94" s="100"/>
      <c r="AE94" s="100"/>
      <c r="AF94" s="98"/>
      <c r="AG94" s="98"/>
      <c r="AH94" s="100"/>
      <c r="AI94" s="100"/>
      <c r="AJ94" s="100"/>
      <c r="AK94" s="100"/>
      <c r="AL94" s="100"/>
      <c r="AM94" s="100"/>
      <c r="AN94" s="100"/>
      <c r="AO94" s="100"/>
      <c r="AP94" s="100"/>
    </row>
    <row r="95" spans="1:42" s="22" customFormat="1" ht="138.75" customHeight="1" x14ac:dyDescent="0.55000000000000004">
      <c r="A95" s="73" t="s">
        <v>185</v>
      </c>
      <c r="B95" s="73" t="s">
        <v>100</v>
      </c>
      <c r="C95" s="74" t="s">
        <v>101</v>
      </c>
      <c r="D95" s="74" t="s">
        <v>102</v>
      </c>
      <c r="E95" s="74" t="s">
        <v>53</v>
      </c>
      <c r="F95" s="74" t="s">
        <v>52</v>
      </c>
      <c r="G95" s="74"/>
      <c r="H95" s="121" t="s">
        <v>103</v>
      </c>
      <c r="I95" s="73" t="s">
        <v>158</v>
      </c>
      <c r="J95" s="186"/>
      <c r="K95" s="387" t="s">
        <v>228</v>
      </c>
      <c r="L95" s="308">
        <v>43165</v>
      </c>
      <c r="M95" s="308">
        <v>43172</v>
      </c>
      <c r="N95" s="308" t="s">
        <v>246</v>
      </c>
      <c r="O95" s="186"/>
      <c r="P95" s="231">
        <v>22</v>
      </c>
      <c r="Q95" s="186"/>
      <c r="R95" s="214"/>
      <c r="S95" s="237"/>
      <c r="T95" s="141">
        <v>1</v>
      </c>
      <c r="U95" s="237">
        <f t="shared" ref="U95:U100" si="55">AF95</f>
        <v>0</v>
      </c>
      <c r="V95" s="284"/>
      <c r="W95" s="73" t="s">
        <v>54</v>
      </c>
      <c r="X95" s="73" t="s">
        <v>21</v>
      </c>
      <c r="Y95" s="74" t="s">
        <v>127</v>
      </c>
      <c r="Z95" s="74" t="s">
        <v>26</v>
      </c>
      <c r="AA95" s="152"/>
      <c r="AB95" s="76">
        <v>343282.31711999991</v>
      </c>
      <c r="AC95" s="330">
        <f>AB95</f>
        <v>343282.31711999991</v>
      </c>
      <c r="AD95" s="330"/>
      <c r="AE95" s="330"/>
      <c r="AF95" s="76">
        <f t="shared" ref="AF95:AF100" si="56">SUM(AG95:AN95)</f>
        <v>0</v>
      </c>
      <c r="AG95" s="153"/>
      <c r="AH95" s="75">
        <f>171641.15856-171641.15856</f>
        <v>0</v>
      </c>
      <c r="AI95" s="75"/>
      <c r="AJ95" s="75">
        <f>171641.15856-171641.15856</f>
        <v>0</v>
      </c>
      <c r="AK95" s="75"/>
      <c r="AL95" s="75"/>
      <c r="AM95" s="153"/>
      <c r="AN95" s="153"/>
      <c r="AO95" s="153"/>
      <c r="AP95" s="250"/>
    </row>
    <row r="96" spans="1:42" s="22" customFormat="1" ht="138.75" customHeight="1" x14ac:dyDescent="0.55000000000000004">
      <c r="A96" s="73" t="s">
        <v>356</v>
      </c>
      <c r="B96" s="73" t="s">
        <v>100</v>
      </c>
      <c r="C96" s="74" t="s">
        <v>101</v>
      </c>
      <c r="D96" s="74" t="s">
        <v>102</v>
      </c>
      <c r="E96" s="74" t="s">
        <v>53</v>
      </c>
      <c r="F96" s="74" t="s">
        <v>52</v>
      </c>
      <c r="G96" s="74"/>
      <c r="H96" s="121" t="s">
        <v>359</v>
      </c>
      <c r="I96" s="73" t="s">
        <v>158</v>
      </c>
      <c r="J96" s="186"/>
      <c r="K96" s="387" t="s">
        <v>228</v>
      </c>
      <c r="L96" s="308">
        <v>43165</v>
      </c>
      <c r="M96" s="308">
        <v>43172</v>
      </c>
      <c r="N96" s="308" t="s">
        <v>246</v>
      </c>
      <c r="O96" s="186"/>
      <c r="P96" s="231">
        <v>22</v>
      </c>
      <c r="Q96" s="186"/>
      <c r="R96" s="214"/>
      <c r="S96" s="237"/>
      <c r="T96" s="141">
        <v>1</v>
      </c>
      <c r="U96" s="237">
        <f t="shared" si="55"/>
        <v>343282.32</v>
      </c>
      <c r="V96" s="284"/>
      <c r="W96" s="73" t="s">
        <v>54</v>
      </c>
      <c r="X96" s="73" t="s">
        <v>21</v>
      </c>
      <c r="Y96" s="74" t="s">
        <v>127</v>
      </c>
      <c r="Z96" s="74" t="s">
        <v>26</v>
      </c>
      <c r="AA96" s="152"/>
      <c r="AB96" s="76">
        <v>0</v>
      </c>
      <c r="AC96" s="330"/>
      <c r="AD96" s="330"/>
      <c r="AE96" s="330">
        <v>343282.32</v>
      </c>
      <c r="AF96" s="76">
        <f t="shared" si="56"/>
        <v>343282.32</v>
      </c>
      <c r="AG96" s="153"/>
      <c r="AH96" s="75">
        <v>171641.16</v>
      </c>
      <c r="AI96" s="75"/>
      <c r="AJ96" s="75">
        <v>171641.16</v>
      </c>
      <c r="AK96" s="75"/>
      <c r="AL96" s="75"/>
      <c r="AM96" s="153"/>
      <c r="AN96" s="153"/>
      <c r="AO96" s="153"/>
      <c r="AP96" s="250"/>
    </row>
    <row r="97" spans="1:42" s="22" customFormat="1" ht="138.75" customHeight="1" x14ac:dyDescent="0.55000000000000004">
      <c r="A97" s="73" t="s">
        <v>186</v>
      </c>
      <c r="B97" s="73" t="s">
        <v>100</v>
      </c>
      <c r="C97" s="74" t="s">
        <v>101</v>
      </c>
      <c r="D97" s="74" t="s">
        <v>102</v>
      </c>
      <c r="E97" s="74" t="s">
        <v>53</v>
      </c>
      <c r="F97" s="74" t="s">
        <v>52</v>
      </c>
      <c r="G97" s="74"/>
      <c r="H97" s="121" t="s">
        <v>103</v>
      </c>
      <c r="I97" s="73" t="s">
        <v>104</v>
      </c>
      <c r="J97" s="186"/>
      <c r="K97" s="387" t="s">
        <v>228</v>
      </c>
      <c r="L97" s="308">
        <v>43165</v>
      </c>
      <c r="M97" s="308">
        <v>43172</v>
      </c>
      <c r="N97" s="308" t="s">
        <v>246</v>
      </c>
      <c r="O97" s="186"/>
      <c r="P97" s="231">
        <v>12</v>
      </c>
      <c r="Q97" s="186"/>
      <c r="R97" s="214"/>
      <c r="S97" s="206"/>
      <c r="T97" s="141">
        <v>1</v>
      </c>
      <c r="U97" s="237">
        <f t="shared" si="55"/>
        <v>0</v>
      </c>
      <c r="V97" s="284"/>
      <c r="W97" s="73" t="s">
        <v>54</v>
      </c>
      <c r="X97" s="73" t="s">
        <v>21</v>
      </c>
      <c r="Y97" s="74" t="s">
        <v>128</v>
      </c>
      <c r="Z97" s="153" t="s">
        <v>126</v>
      </c>
      <c r="AA97" s="152"/>
      <c r="AB97" s="76">
        <v>343282.31711999991</v>
      </c>
      <c r="AC97" s="330">
        <f>AB97</f>
        <v>343282.31711999991</v>
      </c>
      <c r="AD97" s="330"/>
      <c r="AE97" s="330"/>
      <c r="AF97" s="76">
        <f t="shared" si="56"/>
        <v>0</v>
      </c>
      <c r="AG97" s="153"/>
      <c r="AH97" s="75">
        <f>171641.15856-171641.15856</f>
        <v>0</v>
      </c>
      <c r="AI97" s="75"/>
      <c r="AJ97" s="75">
        <f>171641.15856-171641.15856</f>
        <v>0</v>
      </c>
      <c r="AK97" s="75"/>
      <c r="AL97" s="75"/>
      <c r="AM97" s="153"/>
      <c r="AN97" s="153"/>
      <c r="AO97" s="153"/>
      <c r="AP97" s="156" t="e">
        <f>SUM(#REF!)</f>
        <v>#REF!</v>
      </c>
    </row>
    <row r="98" spans="1:42" s="22" customFormat="1" ht="138.75" customHeight="1" x14ac:dyDescent="0.55000000000000004">
      <c r="A98" s="73" t="s">
        <v>357</v>
      </c>
      <c r="B98" s="73" t="s">
        <v>100</v>
      </c>
      <c r="C98" s="74" t="s">
        <v>101</v>
      </c>
      <c r="D98" s="74" t="s">
        <v>102</v>
      </c>
      <c r="E98" s="74" t="s">
        <v>53</v>
      </c>
      <c r="F98" s="74" t="s">
        <v>52</v>
      </c>
      <c r="G98" s="74"/>
      <c r="H98" s="121" t="s">
        <v>359</v>
      </c>
      <c r="I98" s="73" t="s">
        <v>104</v>
      </c>
      <c r="J98" s="186"/>
      <c r="K98" s="387" t="s">
        <v>228</v>
      </c>
      <c r="L98" s="308">
        <v>43165</v>
      </c>
      <c r="M98" s="308">
        <v>43172</v>
      </c>
      <c r="N98" s="308" t="s">
        <v>246</v>
      </c>
      <c r="O98" s="186"/>
      <c r="P98" s="231">
        <v>12</v>
      </c>
      <c r="Q98" s="186"/>
      <c r="R98" s="214"/>
      <c r="S98" s="206"/>
      <c r="T98" s="141">
        <v>1</v>
      </c>
      <c r="U98" s="237">
        <f t="shared" si="55"/>
        <v>343282.32</v>
      </c>
      <c r="V98" s="284"/>
      <c r="W98" s="73" t="s">
        <v>54</v>
      </c>
      <c r="X98" s="73" t="s">
        <v>21</v>
      </c>
      <c r="Y98" s="74" t="s">
        <v>128</v>
      </c>
      <c r="Z98" s="153" t="s">
        <v>126</v>
      </c>
      <c r="AA98" s="152"/>
      <c r="AB98" s="76">
        <v>0</v>
      </c>
      <c r="AC98" s="330"/>
      <c r="AD98" s="330"/>
      <c r="AE98" s="330">
        <v>343282.32</v>
      </c>
      <c r="AF98" s="76">
        <f t="shared" si="56"/>
        <v>343282.32</v>
      </c>
      <c r="AG98" s="153"/>
      <c r="AH98" s="75">
        <v>171641.16</v>
      </c>
      <c r="AI98" s="75"/>
      <c r="AJ98" s="75">
        <v>171641.16</v>
      </c>
      <c r="AK98" s="75"/>
      <c r="AL98" s="75"/>
      <c r="AM98" s="153"/>
      <c r="AN98" s="153"/>
      <c r="AO98" s="153"/>
      <c r="AP98" s="156" t="e">
        <f>SUM(#REF!)</f>
        <v>#REF!</v>
      </c>
    </row>
    <row r="99" spans="1:42" s="22" customFormat="1" ht="138.75" customHeight="1" x14ac:dyDescent="0.55000000000000004">
      <c r="A99" s="73" t="s">
        <v>187</v>
      </c>
      <c r="B99" s="73" t="s">
        <v>100</v>
      </c>
      <c r="C99" s="74" t="s">
        <v>101</v>
      </c>
      <c r="D99" s="74" t="s">
        <v>102</v>
      </c>
      <c r="E99" s="74" t="s">
        <v>53</v>
      </c>
      <c r="F99" s="74" t="s">
        <v>52</v>
      </c>
      <c r="G99" s="74"/>
      <c r="H99" s="121" t="s">
        <v>103</v>
      </c>
      <c r="I99" s="73" t="s">
        <v>105</v>
      </c>
      <c r="J99" s="186"/>
      <c r="K99" s="387" t="s">
        <v>228</v>
      </c>
      <c r="L99" s="308">
        <v>43165</v>
      </c>
      <c r="M99" s="308">
        <v>43172</v>
      </c>
      <c r="N99" s="308" t="s">
        <v>246</v>
      </c>
      <c r="O99" s="186"/>
      <c r="P99" s="231">
        <v>0</v>
      </c>
      <c r="Q99" s="186"/>
      <c r="R99" s="214"/>
      <c r="S99" s="206"/>
      <c r="T99" s="141">
        <v>1</v>
      </c>
      <c r="U99" s="237">
        <f t="shared" si="55"/>
        <v>0</v>
      </c>
      <c r="V99" s="284"/>
      <c r="W99" s="73" t="s">
        <v>54</v>
      </c>
      <c r="X99" s="73" t="s">
        <v>21</v>
      </c>
      <c r="Y99" s="74" t="s">
        <v>129</v>
      </c>
      <c r="Z99" s="74" t="s">
        <v>126</v>
      </c>
      <c r="AA99" s="152"/>
      <c r="AB99" s="76">
        <v>343282.31711999991</v>
      </c>
      <c r="AC99" s="330">
        <f>AB99</f>
        <v>343282.31711999991</v>
      </c>
      <c r="AD99" s="330"/>
      <c r="AE99" s="330"/>
      <c r="AF99" s="76">
        <f t="shared" si="56"/>
        <v>0</v>
      </c>
      <c r="AG99" s="153"/>
      <c r="AH99" s="75">
        <f>171641.15856-171641.15856</f>
        <v>0</v>
      </c>
      <c r="AI99" s="75"/>
      <c r="AJ99" s="75">
        <f>171641.15856-171641.15856</f>
        <v>0</v>
      </c>
      <c r="AK99" s="75"/>
      <c r="AL99" s="75"/>
      <c r="AM99" s="153"/>
      <c r="AN99" s="153"/>
      <c r="AO99" s="153"/>
      <c r="AP99" s="32" t="e">
        <f>#REF!</f>
        <v>#REF!</v>
      </c>
    </row>
    <row r="100" spans="1:42" s="22" customFormat="1" ht="138.75" customHeight="1" x14ac:dyDescent="0.55000000000000004">
      <c r="A100" s="73" t="s">
        <v>358</v>
      </c>
      <c r="B100" s="73" t="s">
        <v>100</v>
      </c>
      <c r="C100" s="74" t="s">
        <v>101</v>
      </c>
      <c r="D100" s="74" t="s">
        <v>102</v>
      </c>
      <c r="E100" s="74" t="s">
        <v>53</v>
      </c>
      <c r="F100" s="74" t="s">
        <v>52</v>
      </c>
      <c r="G100" s="74"/>
      <c r="H100" s="121" t="s">
        <v>359</v>
      </c>
      <c r="I100" s="73" t="s">
        <v>105</v>
      </c>
      <c r="J100" s="186"/>
      <c r="K100" s="387" t="s">
        <v>228</v>
      </c>
      <c r="L100" s="308">
        <v>43165</v>
      </c>
      <c r="M100" s="308">
        <v>43172</v>
      </c>
      <c r="N100" s="308" t="s">
        <v>246</v>
      </c>
      <c r="O100" s="186"/>
      <c r="P100" s="231">
        <v>0</v>
      </c>
      <c r="Q100" s="186"/>
      <c r="R100" s="214"/>
      <c r="S100" s="206"/>
      <c r="T100" s="141">
        <v>1</v>
      </c>
      <c r="U100" s="237">
        <f t="shared" si="55"/>
        <v>343282.32</v>
      </c>
      <c r="V100" s="284"/>
      <c r="W100" s="73" t="s">
        <v>54</v>
      </c>
      <c r="X100" s="73" t="s">
        <v>21</v>
      </c>
      <c r="Y100" s="74" t="s">
        <v>129</v>
      </c>
      <c r="Z100" s="74" t="s">
        <v>126</v>
      </c>
      <c r="AA100" s="152"/>
      <c r="AB100" s="76">
        <v>0</v>
      </c>
      <c r="AC100" s="330"/>
      <c r="AD100" s="330"/>
      <c r="AE100" s="330">
        <v>343282.32</v>
      </c>
      <c r="AF100" s="76">
        <f t="shared" si="56"/>
        <v>343282.32</v>
      </c>
      <c r="AG100" s="153"/>
      <c r="AH100" s="75">
        <v>171641.16</v>
      </c>
      <c r="AI100" s="75"/>
      <c r="AJ100" s="75">
        <v>171641.16</v>
      </c>
      <c r="AK100" s="75"/>
      <c r="AL100" s="75"/>
      <c r="AM100" s="153"/>
      <c r="AN100" s="153"/>
      <c r="AO100" s="153"/>
      <c r="AP100" s="32" t="e">
        <f>#REF!</f>
        <v>#REF!</v>
      </c>
    </row>
    <row r="101" spans="1:42" s="22" customFormat="1" ht="63" customHeight="1" x14ac:dyDescent="0.55000000000000004">
      <c r="A101" s="14"/>
      <c r="B101" s="14"/>
      <c r="C101" s="14"/>
      <c r="D101" s="14"/>
      <c r="E101" s="14"/>
      <c r="F101" s="14"/>
      <c r="G101" s="14"/>
      <c r="H101" s="14"/>
      <c r="I101" s="15"/>
      <c r="J101" s="187"/>
      <c r="K101" s="187"/>
      <c r="L101" s="299"/>
      <c r="M101" s="299"/>
      <c r="N101" s="299"/>
      <c r="O101" s="187"/>
      <c r="P101" s="150">
        <f>SUM(P95:P100)</f>
        <v>68</v>
      </c>
      <c r="Q101" s="187"/>
      <c r="R101" s="150">
        <f>SUM(R95:R100)</f>
        <v>0</v>
      </c>
      <c r="S101" s="89">
        <f t="shared" ref="S101" si="57">SUM(S95:S100)</f>
        <v>0</v>
      </c>
      <c r="T101" s="150">
        <f>SUM(T95:T100)</f>
        <v>6</v>
      </c>
      <c r="U101" s="89">
        <f t="shared" ref="U101" si="58">SUM(U95:U100)</f>
        <v>1029846.96</v>
      </c>
      <c r="V101" s="187"/>
      <c r="W101" s="15"/>
      <c r="X101" s="15"/>
      <c r="Y101" s="14"/>
      <c r="Z101" s="15"/>
      <c r="AA101" s="15"/>
      <c r="AB101" s="89">
        <f>SUM(AB95:AB100)</f>
        <v>1029846.9513599997</v>
      </c>
      <c r="AC101" s="238">
        <f t="shared" ref="AC101:AE101" si="59">SUM(AC95:AC100)</f>
        <v>1029846.9513599997</v>
      </c>
      <c r="AD101" s="238">
        <f t="shared" si="59"/>
        <v>0</v>
      </c>
      <c r="AE101" s="238">
        <f t="shared" si="59"/>
        <v>1029846.96</v>
      </c>
      <c r="AF101" s="89">
        <f>SUM(AF95:AF100)</f>
        <v>1029846.96</v>
      </c>
      <c r="AG101" s="89">
        <f t="shared" ref="AG101:AO101" si="60">SUM(AG95:AG100)</f>
        <v>0</v>
      </c>
      <c r="AH101" s="89">
        <f t="shared" si="60"/>
        <v>514923.48</v>
      </c>
      <c r="AI101" s="89">
        <f t="shared" si="60"/>
        <v>0</v>
      </c>
      <c r="AJ101" s="89">
        <f t="shared" si="60"/>
        <v>514923.48</v>
      </c>
      <c r="AK101" s="89">
        <f t="shared" si="60"/>
        <v>0</v>
      </c>
      <c r="AL101" s="89">
        <f t="shared" si="60"/>
        <v>0</v>
      </c>
      <c r="AM101" s="89">
        <f t="shared" si="60"/>
        <v>0</v>
      </c>
      <c r="AN101" s="89">
        <f t="shared" si="60"/>
        <v>0</v>
      </c>
      <c r="AO101" s="89">
        <f t="shared" si="60"/>
        <v>0</v>
      </c>
      <c r="AP101" s="294">
        <f>SUM(AL95:AL100)</f>
        <v>0</v>
      </c>
    </row>
    <row r="102" spans="1:42" s="92" customFormat="1" x14ac:dyDescent="0.55000000000000004">
      <c r="A102" s="169"/>
      <c r="B102" s="170"/>
      <c r="C102" s="170"/>
      <c r="D102" s="170"/>
      <c r="E102" s="170"/>
      <c r="F102" s="170"/>
      <c r="G102" s="170"/>
      <c r="H102" s="14"/>
      <c r="I102" s="171"/>
      <c r="J102" s="185"/>
      <c r="K102" s="185"/>
      <c r="L102" s="300"/>
      <c r="M102" s="300"/>
      <c r="N102" s="300"/>
      <c r="O102" s="185"/>
      <c r="P102" s="171"/>
      <c r="Q102" s="185"/>
      <c r="R102" s="218"/>
      <c r="S102" s="171"/>
      <c r="T102" s="218"/>
      <c r="U102" s="171"/>
      <c r="V102" s="185"/>
      <c r="W102" s="14"/>
      <c r="X102" s="14"/>
      <c r="Y102" s="172"/>
      <c r="Z102" s="172"/>
      <c r="AA102" s="172"/>
      <c r="AB102" s="95"/>
      <c r="AC102" s="257"/>
      <c r="AD102" s="257"/>
      <c r="AE102" s="257"/>
      <c r="AF102" s="95"/>
      <c r="AG102" s="95"/>
      <c r="AH102" s="172"/>
      <c r="AI102" s="172"/>
      <c r="AJ102" s="173"/>
      <c r="AK102" s="172"/>
      <c r="AL102" s="172"/>
      <c r="AM102" s="172"/>
      <c r="AN102" s="172"/>
      <c r="AO102" s="172"/>
      <c r="AP102" s="32"/>
    </row>
    <row r="103" spans="1:42" s="99" customFormat="1" ht="43.5" customHeight="1" x14ac:dyDescent="0.2">
      <c r="A103" s="97" t="s">
        <v>106</v>
      </c>
      <c r="B103" s="98"/>
      <c r="C103" s="98"/>
      <c r="D103" s="98"/>
      <c r="E103" s="98"/>
      <c r="F103" s="98"/>
      <c r="G103" s="98"/>
      <c r="H103" s="98"/>
      <c r="K103" s="90"/>
      <c r="L103" s="318"/>
      <c r="M103" s="318"/>
      <c r="N103" s="318"/>
      <c r="R103" s="216"/>
      <c r="T103" s="216"/>
      <c r="Y103" s="100"/>
      <c r="Z103" s="100"/>
      <c r="AA103" s="100"/>
      <c r="AB103" s="98"/>
      <c r="AC103" s="100"/>
      <c r="AD103" s="100"/>
      <c r="AE103" s="100"/>
      <c r="AF103" s="98"/>
      <c r="AG103" s="98"/>
      <c r="AH103" s="100"/>
      <c r="AI103" s="100"/>
      <c r="AJ103" s="100"/>
      <c r="AK103" s="100"/>
      <c r="AL103" s="100"/>
      <c r="AM103" s="100"/>
      <c r="AN103" s="100"/>
      <c r="AO103" s="100"/>
      <c r="AP103" s="100"/>
    </row>
    <row r="104" spans="1:42" s="22" customFormat="1" ht="233.25" customHeight="1" x14ac:dyDescent="0.55000000000000004">
      <c r="A104" s="73" t="s">
        <v>188</v>
      </c>
      <c r="B104" s="73" t="s">
        <v>100</v>
      </c>
      <c r="C104" s="74" t="s">
        <v>107</v>
      </c>
      <c r="D104" s="74" t="s">
        <v>108</v>
      </c>
      <c r="E104" s="74" t="s">
        <v>53</v>
      </c>
      <c r="F104" s="74" t="s">
        <v>52</v>
      </c>
      <c r="G104" s="74"/>
      <c r="H104" s="121" t="s">
        <v>119</v>
      </c>
      <c r="I104" s="73" t="s">
        <v>45</v>
      </c>
      <c r="J104" s="186"/>
      <c r="K104" s="387" t="s">
        <v>229</v>
      </c>
      <c r="L104" s="308">
        <v>43165</v>
      </c>
      <c r="M104" s="308">
        <v>43172</v>
      </c>
      <c r="N104" s="308" t="s">
        <v>246</v>
      </c>
      <c r="O104" s="186"/>
      <c r="P104" s="231">
        <v>40</v>
      </c>
      <c r="Q104" s="186"/>
      <c r="R104" s="141">
        <v>1</v>
      </c>
      <c r="S104" s="237">
        <f t="shared" ref="S104:S111" si="61">AF104</f>
        <v>0</v>
      </c>
      <c r="T104" s="214"/>
      <c r="U104" s="237"/>
      <c r="V104" s="284"/>
      <c r="W104" s="73" t="s">
        <v>109</v>
      </c>
      <c r="X104" s="73" t="s">
        <v>21</v>
      </c>
      <c r="Y104" s="74" t="s">
        <v>122</v>
      </c>
      <c r="Z104" s="74" t="s">
        <v>126</v>
      </c>
      <c r="AA104" s="152"/>
      <c r="AB104" s="76">
        <v>195093.72</v>
      </c>
      <c r="AC104" s="330">
        <f>AB104</f>
        <v>195093.72</v>
      </c>
      <c r="AD104" s="330"/>
      <c r="AE104" s="330"/>
      <c r="AF104" s="76">
        <f t="shared" ref="AF104:AF111" si="62">SUM(AG104:AO104)</f>
        <v>0</v>
      </c>
      <c r="AG104" s="76"/>
      <c r="AH104" s="153">
        <f>97546.86-97546.86</f>
        <v>0</v>
      </c>
      <c r="AI104" s="153"/>
      <c r="AJ104" s="153">
        <f>97546.86-97546.86</f>
        <v>0</v>
      </c>
      <c r="AK104" s="153"/>
      <c r="AL104" s="75"/>
      <c r="AM104" s="153"/>
      <c r="AN104" s="153"/>
      <c r="AO104" s="153"/>
      <c r="AP104" s="162"/>
    </row>
    <row r="105" spans="1:42" s="22" customFormat="1" ht="233.25" customHeight="1" x14ac:dyDescent="0.55000000000000004">
      <c r="A105" s="73" t="s">
        <v>360</v>
      </c>
      <c r="B105" s="73" t="s">
        <v>100</v>
      </c>
      <c r="C105" s="74" t="s">
        <v>107</v>
      </c>
      <c r="D105" s="74" t="s">
        <v>108</v>
      </c>
      <c r="E105" s="74" t="s">
        <v>53</v>
      </c>
      <c r="F105" s="74" t="s">
        <v>52</v>
      </c>
      <c r="G105" s="74"/>
      <c r="H105" s="121" t="s">
        <v>364</v>
      </c>
      <c r="I105" s="73" t="s">
        <v>45</v>
      </c>
      <c r="J105" s="186"/>
      <c r="K105" s="387" t="s">
        <v>229</v>
      </c>
      <c r="L105" s="308">
        <v>43165</v>
      </c>
      <c r="M105" s="308">
        <v>43172</v>
      </c>
      <c r="N105" s="308" t="s">
        <v>246</v>
      </c>
      <c r="O105" s="186"/>
      <c r="P105" s="231">
        <v>40</v>
      </c>
      <c r="Q105" s="186"/>
      <c r="R105" s="141">
        <v>1</v>
      </c>
      <c r="S105" s="237">
        <f t="shared" si="61"/>
        <v>195093.72</v>
      </c>
      <c r="T105" s="214"/>
      <c r="U105" s="237"/>
      <c r="V105" s="284"/>
      <c r="W105" s="73" t="s">
        <v>109</v>
      </c>
      <c r="X105" s="73" t="s">
        <v>21</v>
      </c>
      <c r="Y105" s="74" t="s">
        <v>122</v>
      </c>
      <c r="Z105" s="74" t="s">
        <v>126</v>
      </c>
      <c r="AA105" s="152"/>
      <c r="AB105" s="76">
        <v>0</v>
      </c>
      <c r="AC105" s="330"/>
      <c r="AD105" s="330"/>
      <c r="AE105" s="330">
        <v>195093.72</v>
      </c>
      <c r="AF105" s="76">
        <f t="shared" si="62"/>
        <v>195093.72</v>
      </c>
      <c r="AG105" s="76"/>
      <c r="AH105" s="153">
        <v>97546.86</v>
      </c>
      <c r="AI105" s="153"/>
      <c r="AJ105" s="153">
        <v>97546.86</v>
      </c>
      <c r="AK105" s="153"/>
      <c r="AL105" s="75"/>
      <c r="AM105" s="153"/>
      <c r="AN105" s="153"/>
      <c r="AO105" s="153"/>
      <c r="AP105" s="162"/>
    </row>
    <row r="106" spans="1:42" s="22" customFormat="1" ht="233.25" customHeight="1" x14ac:dyDescent="0.55000000000000004">
      <c r="A106" s="73" t="s">
        <v>189</v>
      </c>
      <c r="B106" s="73" t="s">
        <v>100</v>
      </c>
      <c r="C106" s="74" t="s">
        <v>107</v>
      </c>
      <c r="D106" s="74" t="s">
        <v>108</v>
      </c>
      <c r="E106" s="74" t="s">
        <v>53</v>
      </c>
      <c r="F106" s="74" t="s">
        <v>52</v>
      </c>
      <c r="G106" s="74"/>
      <c r="H106" s="121" t="s">
        <v>119</v>
      </c>
      <c r="I106" s="73" t="s">
        <v>45</v>
      </c>
      <c r="J106" s="186"/>
      <c r="K106" s="387" t="s">
        <v>229</v>
      </c>
      <c r="L106" s="308">
        <v>43165</v>
      </c>
      <c r="M106" s="308">
        <v>43172</v>
      </c>
      <c r="N106" s="308" t="s">
        <v>246</v>
      </c>
      <c r="O106" s="186"/>
      <c r="P106" s="231">
        <v>40</v>
      </c>
      <c r="Q106" s="186"/>
      <c r="R106" s="141">
        <v>1</v>
      </c>
      <c r="S106" s="237">
        <f t="shared" si="61"/>
        <v>0</v>
      </c>
      <c r="T106" s="214"/>
      <c r="U106" s="206"/>
      <c r="V106" s="284"/>
      <c r="W106" s="73" t="s">
        <v>109</v>
      </c>
      <c r="X106" s="73" t="s">
        <v>21</v>
      </c>
      <c r="Y106" s="74" t="s">
        <v>123</v>
      </c>
      <c r="Z106" s="74" t="s">
        <v>126</v>
      </c>
      <c r="AA106" s="152"/>
      <c r="AB106" s="76">
        <v>173336.28</v>
      </c>
      <c r="AC106" s="330">
        <f>AB106</f>
        <v>173336.28</v>
      </c>
      <c r="AD106" s="330"/>
      <c r="AE106" s="330"/>
      <c r="AF106" s="76">
        <f t="shared" si="62"/>
        <v>0</v>
      </c>
      <c r="AG106" s="76"/>
      <c r="AH106" s="153">
        <f>86668.14-86668.14</f>
        <v>0</v>
      </c>
      <c r="AI106" s="153"/>
      <c r="AJ106" s="153">
        <f>86668.14-86668.14</f>
        <v>0</v>
      </c>
      <c r="AK106" s="153"/>
      <c r="AL106" s="75"/>
      <c r="AM106" s="153"/>
      <c r="AN106" s="153"/>
      <c r="AO106" s="153"/>
      <c r="AP106" s="162"/>
    </row>
    <row r="107" spans="1:42" s="22" customFormat="1" ht="233.25" customHeight="1" x14ac:dyDescent="0.55000000000000004">
      <c r="A107" s="73" t="s">
        <v>361</v>
      </c>
      <c r="B107" s="73" t="s">
        <v>100</v>
      </c>
      <c r="C107" s="74" t="s">
        <v>107</v>
      </c>
      <c r="D107" s="74" t="s">
        <v>108</v>
      </c>
      <c r="E107" s="74" t="s">
        <v>53</v>
      </c>
      <c r="F107" s="74" t="s">
        <v>52</v>
      </c>
      <c r="G107" s="74"/>
      <c r="H107" s="121" t="s">
        <v>364</v>
      </c>
      <c r="I107" s="73" t="s">
        <v>45</v>
      </c>
      <c r="J107" s="186"/>
      <c r="K107" s="387" t="s">
        <v>229</v>
      </c>
      <c r="L107" s="308">
        <v>43165</v>
      </c>
      <c r="M107" s="308">
        <v>43172</v>
      </c>
      <c r="N107" s="308" t="s">
        <v>246</v>
      </c>
      <c r="O107" s="186"/>
      <c r="P107" s="231">
        <v>40</v>
      </c>
      <c r="Q107" s="186"/>
      <c r="R107" s="141">
        <v>1</v>
      </c>
      <c r="S107" s="237">
        <f t="shared" si="61"/>
        <v>173336.28</v>
      </c>
      <c r="T107" s="214"/>
      <c r="U107" s="206"/>
      <c r="V107" s="284"/>
      <c r="W107" s="73" t="s">
        <v>109</v>
      </c>
      <c r="X107" s="73" t="s">
        <v>21</v>
      </c>
      <c r="Y107" s="74" t="s">
        <v>123</v>
      </c>
      <c r="Z107" s="74" t="s">
        <v>126</v>
      </c>
      <c r="AA107" s="152"/>
      <c r="AB107" s="76">
        <v>0</v>
      </c>
      <c r="AC107" s="330"/>
      <c r="AD107" s="330"/>
      <c r="AE107" s="330">
        <v>173336.28</v>
      </c>
      <c r="AF107" s="76">
        <f t="shared" si="62"/>
        <v>173336.28</v>
      </c>
      <c r="AG107" s="76"/>
      <c r="AH107" s="153">
        <v>86668.14</v>
      </c>
      <c r="AI107" s="153"/>
      <c r="AJ107" s="153">
        <v>86668.14</v>
      </c>
      <c r="AK107" s="153"/>
      <c r="AL107" s="75"/>
      <c r="AM107" s="153"/>
      <c r="AN107" s="153"/>
      <c r="AO107" s="153"/>
      <c r="AP107" s="162"/>
    </row>
    <row r="108" spans="1:42" s="22" customFormat="1" ht="233.25" customHeight="1" x14ac:dyDescent="0.55000000000000004">
      <c r="A108" s="73" t="s">
        <v>190</v>
      </c>
      <c r="B108" s="73" t="s">
        <v>100</v>
      </c>
      <c r="C108" s="74" t="s">
        <v>107</v>
      </c>
      <c r="D108" s="74" t="s">
        <v>108</v>
      </c>
      <c r="E108" s="74" t="s">
        <v>53</v>
      </c>
      <c r="F108" s="74" t="s">
        <v>52</v>
      </c>
      <c r="G108" s="74"/>
      <c r="H108" s="121" t="s">
        <v>120</v>
      </c>
      <c r="I108" s="73" t="s">
        <v>45</v>
      </c>
      <c r="J108" s="186"/>
      <c r="K108" s="387" t="s">
        <v>229</v>
      </c>
      <c r="L108" s="308">
        <v>43165</v>
      </c>
      <c r="M108" s="308">
        <v>43172</v>
      </c>
      <c r="N108" s="308" t="s">
        <v>246</v>
      </c>
      <c r="O108" s="186"/>
      <c r="P108" s="231">
        <v>60</v>
      </c>
      <c r="Q108" s="186"/>
      <c r="R108" s="141">
        <v>1</v>
      </c>
      <c r="S108" s="237">
        <f t="shared" si="61"/>
        <v>0</v>
      </c>
      <c r="T108" s="214"/>
      <c r="U108" s="206"/>
      <c r="V108" s="284"/>
      <c r="W108" s="73" t="s">
        <v>109</v>
      </c>
      <c r="X108" s="73" t="s">
        <v>21</v>
      </c>
      <c r="Y108" s="74" t="s">
        <v>124</v>
      </c>
      <c r="Z108" s="74" t="s">
        <v>126</v>
      </c>
      <c r="AA108" s="152"/>
      <c r="AB108" s="76">
        <v>316403.78000000003</v>
      </c>
      <c r="AC108" s="330">
        <f>AB108</f>
        <v>316403.78000000003</v>
      </c>
      <c r="AD108" s="330"/>
      <c r="AE108" s="330"/>
      <c r="AF108" s="76">
        <f t="shared" si="62"/>
        <v>0</v>
      </c>
      <c r="AG108" s="76"/>
      <c r="AH108" s="153">
        <f>158201.89-158201.89</f>
        <v>0</v>
      </c>
      <c r="AI108" s="153"/>
      <c r="AJ108" s="153">
        <f>158201.89-158201.89</f>
        <v>0</v>
      </c>
      <c r="AK108" s="153"/>
      <c r="AL108" s="75"/>
      <c r="AM108" s="153"/>
      <c r="AN108" s="153"/>
      <c r="AO108" s="153"/>
      <c r="AP108" s="162"/>
    </row>
    <row r="109" spans="1:42" s="22" customFormat="1" ht="233.25" customHeight="1" x14ac:dyDescent="0.55000000000000004">
      <c r="A109" s="73" t="s">
        <v>362</v>
      </c>
      <c r="B109" s="73" t="s">
        <v>100</v>
      </c>
      <c r="C109" s="74" t="s">
        <v>107</v>
      </c>
      <c r="D109" s="74" t="s">
        <v>108</v>
      </c>
      <c r="E109" s="74" t="s">
        <v>53</v>
      </c>
      <c r="F109" s="74" t="s">
        <v>52</v>
      </c>
      <c r="G109" s="74"/>
      <c r="H109" s="121" t="s">
        <v>365</v>
      </c>
      <c r="I109" s="73" t="s">
        <v>45</v>
      </c>
      <c r="J109" s="186"/>
      <c r="K109" s="387" t="s">
        <v>229</v>
      </c>
      <c r="L109" s="308">
        <v>43165</v>
      </c>
      <c r="M109" s="308">
        <v>43172</v>
      </c>
      <c r="N109" s="308" t="s">
        <v>246</v>
      </c>
      <c r="O109" s="186"/>
      <c r="P109" s="231">
        <v>60</v>
      </c>
      <c r="Q109" s="186"/>
      <c r="R109" s="141">
        <v>1</v>
      </c>
      <c r="S109" s="237">
        <f t="shared" si="61"/>
        <v>316403.78000000003</v>
      </c>
      <c r="T109" s="214"/>
      <c r="U109" s="206"/>
      <c r="V109" s="284"/>
      <c r="W109" s="73" t="s">
        <v>109</v>
      </c>
      <c r="X109" s="73" t="s">
        <v>21</v>
      </c>
      <c r="Y109" s="74" t="s">
        <v>124</v>
      </c>
      <c r="Z109" s="74" t="s">
        <v>126</v>
      </c>
      <c r="AA109" s="152"/>
      <c r="AB109" s="76">
        <v>0</v>
      </c>
      <c r="AC109" s="330"/>
      <c r="AD109" s="330"/>
      <c r="AE109" s="330">
        <v>316403.78000000003</v>
      </c>
      <c r="AF109" s="76">
        <f t="shared" si="62"/>
        <v>316403.78000000003</v>
      </c>
      <c r="AG109" s="76"/>
      <c r="AH109" s="153">
        <v>158201.89000000001</v>
      </c>
      <c r="AI109" s="153"/>
      <c r="AJ109" s="153">
        <v>158201.89000000001</v>
      </c>
      <c r="AK109" s="153"/>
      <c r="AL109" s="75"/>
      <c r="AM109" s="153"/>
      <c r="AN109" s="153"/>
      <c r="AO109" s="153"/>
      <c r="AP109" s="162"/>
    </row>
    <row r="110" spans="1:42" s="22" customFormat="1" ht="258.75" customHeight="1" x14ac:dyDescent="0.55000000000000004">
      <c r="A110" s="73" t="s">
        <v>191</v>
      </c>
      <c r="B110" s="73" t="s">
        <v>100</v>
      </c>
      <c r="C110" s="74" t="s">
        <v>107</v>
      </c>
      <c r="D110" s="74" t="s">
        <v>108</v>
      </c>
      <c r="E110" s="74" t="s">
        <v>53</v>
      </c>
      <c r="F110" s="74" t="s">
        <v>52</v>
      </c>
      <c r="G110" s="74"/>
      <c r="H110" s="121" t="s">
        <v>121</v>
      </c>
      <c r="I110" s="73" t="s">
        <v>43</v>
      </c>
      <c r="J110" s="186"/>
      <c r="K110" s="387" t="s">
        <v>229</v>
      </c>
      <c r="L110" s="308">
        <v>43165</v>
      </c>
      <c r="M110" s="308">
        <v>43172</v>
      </c>
      <c r="N110" s="308" t="s">
        <v>246</v>
      </c>
      <c r="O110" s="186"/>
      <c r="P110" s="231">
        <v>60</v>
      </c>
      <c r="Q110" s="186"/>
      <c r="R110" s="141">
        <v>1</v>
      </c>
      <c r="S110" s="237">
        <f t="shared" si="61"/>
        <v>0</v>
      </c>
      <c r="T110" s="214"/>
      <c r="U110" s="206"/>
      <c r="V110" s="284"/>
      <c r="W110" s="73" t="s">
        <v>109</v>
      </c>
      <c r="X110" s="73" t="s">
        <v>21</v>
      </c>
      <c r="Y110" s="74" t="s">
        <v>125</v>
      </c>
      <c r="Z110" s="74" t="s">
        <v>126</v>
      </c>
      <c r="AA110" s="152"/>
      <c r="AB110" s="76">
        <v>257782.32</v>
      </c>
      <c r="AC110" s="330">
        <f>AB110</f>
        <v>257782.32</v>
      </c>
      <c r="AD110" s="330"/>
      <c r="AE110" s="330"/>
      <c r="AF110" s="76">
        <f t="shared" si="62"/>
        <v>0</v>
      </c>
      <c r="AG110" s="76"/>
      <c r="AH110" s="153">
        <f>128891.16-128891.16</f>
        <v>0</v>
      </c>
      <c r="AI110" s="153"/>
      <c r="AJ110" s="153">
        <f>128891.16-128891.16</f>
        <v>0</v>
      </c>
      <c r="AK110" s="153"/>
      <c r="AL110" s="75"/>
      <c r="AM110" s="153"/>
      <c r="AN110" s="153"/>
      <c r="AO110" s="153"/>
      <c r="AP110" s="162"/>
    </row>
    <row r="111" spans="1:42" s="22" customFormat="1" ht="237.75" customHeight="1" x14ac:dyDescent="0.55000000000000004">
      <c r="A111" s="73" t="s">
        <v>363</v>
      </c>
      <c r="B111" s="73" t="s">
        <v>100</v>
      </c>
      <c r="C111" s="74" t="s">
        <v>107</v>
      </c>
      <c r="D111" s="74" t="s">
        <v>108</v>
      </c>
      <c r="E111" s="74" t="s">
        <v>53</v>
      </c>
      <c r="F111" s="74" t="s">
        <v>52</v>
      </c>
      <c r="G111" s="74"/>
      <c r="H111" s="121" t="s">
        <v>366</v>
      </c>
      <c r="I111" s="73" t="s">
        <v>43</v>
      </c>
      <c r="J111" s="186"/>
      <c r="K111" s="387" t="s">
        <v>229</v>
      </c>
      <c r="L111" s="308">
        <v>43165</v>
      </c>
      <c r="M111" s="308">
        <v>43172</v>
      </c>
      <c r="N111" s="308" t="s">
        <v>246</v>
      </c>
      <c r="O111" s="186"/>
      <c r="P111" s="231">
        <v>60</v>
      </c>
      <c r="Q111" s="186"/>
      <c r="R111" s="141">
        <v>1</v>
      </c>
      <c r="S111" s="237">
        <f t="shared" si="61"/>
        <v>257782.32</v>
      </c>
      <c r="T111" s="214"/>
      <c r="U111" s="206"/>
      <c r="V111" s="284"/>
      <c r="W111" s="73" t="s">
        <v>109</v>
      </c>
      <c r="X111" s="73" t="s">
        <v>21</v>
      </c>
      <c r="Y111" s="74" t="s">
        <v>125</v>
      </c>
      <c r="Z111" s="74" t="s">
        <v>126</v>
      </c>
      <c r="AA111" s="152"/>
      <c r="AB111" s="76">
        <v>0</v>
      </c>
      <c r="AC111" s="330"/>
      <c r="AD111" s="330"/>
      <c r="AE111" s="330">
        <v>257782.32</v>
      </c>
      <c r="AF111" s="76">
        <f t="shared" si="62"/>
        <v>257782.32</v>
      </c>
      <c r="AG111" s="76"/>
      <c r="AH111" s="153">
        <v>128891.16</v>
      </c>
      <c r="AI111" s="153"/>
      <c r="AJ111" s="153">
        <v>128891.16</v>
      </c>
      <c r="AK111" s="153"/>
      <c r="AL111" s="75"/>
      <c r="AM111" s="153"/>
      <c r="AN111" s="153"/>
      <c r="AO111" s="153"/>
      <c r="AP111" s="162"/>
    </row>
    <row r="112" spans="1:42" s="22" customFormat="1" ht="63" customHeight="1" x14ac:dyDescent="0.55000000000000004">
      <c r="A112" s="14"/>
      <c r="B112" s="14"/>
      <c r="C112" s="14"/>
      <c r="D112" s="14"/>
      <c r="E112" s="14"/>
      <c r="F112" s="14"/>
      <c r="G112" s="14"/>
      <c r="H112" s="14"/>
      <c r="I112" s="15"/>
      <c r="J112" s="187"/>
      <c r="K112" s="187"/>
      <c r="L112" s="299"/>
      <c r="M112" s="299"/>
      <c r="N112" s="299"/>
      <c r="O112" s="187"/>
      <c r="P112" s="151">
        <f>SUM(P104:P111)</f>
        <v>400</v>
      </c>
      <c r="Q112" s="187"/>
      <c r="R112" s="151">
        <f>SUM(R104:R111)</f>
        <v>8</v>
      </c>
      <c r="S112" s="89">
        <f>SUM(S104:S111)</f>
        <v>942616.10000000009</v>
      </c>
      <c r="T112" s="151">
        <f>SUM(T104:T111)</f>
        <v>0</v>
      </c>
      <c r="U112" s="89">
        <f>SUM(U104:U111)</f>
        <v>0</v>
      </c>
      <c r="V112" s="187"/>
      <c r="W112" s="15"/>
      <c r="X112" s="15"/>
      <c r="Y112" s="14"/>
      <c r="Z112" s="15"/>
      <c r="AA112" s="15"/>
      <c r="AB112" s="89">
        <f>SUM(AB104:AB111)</f>
        <v>942616.10000000009</v>
      </c>
      <c r="AC112" s="238">
        <f t="shared" ref="AC112:AD112" si="63">SUM(AC104:AC111)</f>
        <v>942616.10000000009</v>
      </c>
      <c r="AD112" s="238">
        <f t="shared" si="63"/>
        <v>0</v>
      </c>
      <c r="AE112" s="238">
        <f>SUM(AE104:AE111)</f>
        <v>942616.10000000009</v>
      </c>
      <c r="AF112" s="89">
        <f>SUM(AF104:AF111)</f>
        <v>942616.10000000009</v>
      </c>
      <c r="AG112" s="89">
        <f>SUM(AG104:AG111)</f>
        <v>0</v>
      </c>
      <c r="AH112" s="89">
        <f>SUM(AH104:AH111)</f>
        <v>471308.05000000005</v>
      </c>
      <c r="AI112" s="89">
        <f t="shared" ref="AI112:AP112" si="64">SUM(AI104:AI111)</f>
        <v>0</v>
      </c>
      <c r="AJ112" s="89">
        <f t="shared" si="64"/>
        <v>471308.05000000005</v>
      </c>
      <c r="AK112" s="89">
        <f t="shared" si="64"/>
        <v>0</v>
      </c>
      <c r="AL112" s="89">
        <f t="shared" si="64"/>
        <v>0</v>
      </c>
      <c r="AM112" s="89">
        <f t="shared" si="64"/>
        <v>0</v>
      </c>
      <c r="AN112" s="89">
        <f t="shared" si="64"/>
        <v>0</v>
      </c>
      <c r="AO112" s="89">
        <f t="shared" si="64"/>
        <v>0</v>
      </c>
      <c r="AP112" s="294">
        <f t="shared" si="64"/>
        <v>0</v>
      </c>
    </row>
    <row r="113" spans="1:42" s="92" customFormat="1" ht="24" customHeight="1" x14ac:dyDescent="0.2">
      <c r="A113" s="90"/>
      <c r="B113" s="91"/>
      <c r="C113" s="91"/>
      <c r="D113" s="91"/>
      <c r="E113" s="91"/>
      <c r="F113" s="91"/>
      <c r="G113" s="91"/>
      <c r="H113" s="91"/>
      <c r="L113" s="303"/>
      <c r="M113" s="303"/>
      <c r="N113" s="303"/>
      <c r="P113" s="217"/>
      <c r="R113" s="217"/>
      <c r="S113" s="91"/>
      <c r="T113" s="217"/>
      <c r="U113" s="91"/>
      <c r="Y113" s="91"/>
      <c r="Z113" s="91"/>
      <c r="AA113" s="91"/>
      <c r="AB113" s="91"/>
      <c r="AC113" s="331"/>
      <c r="AD113" s="331"/>
      <c r="AE113" s="33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120"/>
    </row>
    <row r="114" spans="1:42" s="22" customFormat="1" ht="67.5" customHeight="1" x14ac:dyDescent="0.55000000000000004">
      <c r="A114" s="27"/>
      <c r="B114" s="27"/>
      <c r="C114" s="27"/>
      <c r="D114" s="27"/>
      <c r="E114" s="27"/>
      <c r="F114" s="27"/>
      <c r="G114" s="27"/>
      <c r="H114" s="28"/>
      <c r="I114" s="15"/>
      <c r="J114" s="13"/>
      <c r="K114" s="288"/>
      <c r="L114" s="299"/>
      <c r="M114" s="299"/>
      <c r="N114" s="299"/>
      <c r="O114" s="204"/>
      <c r="P114" s="167">
        <f>P112+P101</f>
        <v>468</v>
      </c>
      <c r="Q114" s="204"/>
      <c r="R114" s="167">
        <f>R112+R101</f>
        <v>8</v>
      </c>
      <c r="S114" s="133">
        <f>S112+S101</f>
        <v>942616.10000000009</v>
      </c>
      <c r="T114" s="167">
        <f>T112+T101</f>
        <v>6</v>
      </c>
      <c r="U114" s="133">
        <f>U112+U101</f>
        <v>1029846.96</v>
      </c>
      <c r="V114" s="205"/>
      <c r="W114" s="337" t="s">
        <v>22</v>
      </c>
      <c r="X114" s="338"/>
      <c r="Y114" s="338"/>
      <c r="Z114" s="338"/>
      <c r="AA114" s="183"/>
      <c r="AB114" s="133">
        <f t="shared" ref="AB114:AE114" si="65">AB112+AB101</f>
        <v>1972463.0513599999</v>
      </c>
      <c r="AC114" s="133">
        <f t="shared" si="65"/>
        <v>1972463.0513599999</v>
      </c>
      <c r="AD114" s="133">
        <f t="shared" si="65"/>
        <v>0</v>
      </c>
      <c r="AE114" s="133">
        <f t="shared" si="65"/>
        <v>1972463.06</v>
      </c>
      <c r="AF114" s="133">
        <f>AF112+AF101</f>
        <v>1972463.06</v>
      </c>
      <c r="AG114" s="133">
        <f t="shared" ref="AG114:AO114" si="66">AG112+AG101</f>
        <v>0</v>
      </c>
      <c r="AH114" s="133">
        <f t="shared" si="66"/>
        <v>986231.53</v>
      </c>
      <c r="AI114" s="133">
        <f t="shared" si="66"/>
        <v>0</v>
      </c>
      <c r="AJ114" s="133">
        <f t="shared" si="66"/>
        <v>986231.53</v>
      </c>
      <c r="AK114" s="133">
        <f t="shared" si="66"/>
        <v>0</v>
      </c>
      <c r="AL114" s="133">
        <f t="shared" si="66"/>
        <v>0</v>
      </c>
      <c r="AM114" s="133">
        <f t="shared" si="66"/>
        <v>0</v>
      </c>
      <c r="AN114" s="133">
        <f t="shared" si="66"/>
        <v>0</v>
      </c>
      <c r="AO114" s="133">
        <f t="shared" si="66"/>
        <v>0</v>
      </c>
      <c r="AP114" s="295" t="e">
        <f>#REF!+AP112+AP101+#REF!</f>
        <v>#REF!</v>
      </c>
    </row>
    <row r="115" spans="1:42" s="13" customFormat="1" ht="27" customHeight="1" x14ac:dyDescent="0.55000000000000004">
      <c r="A115" s="16"/>
      <c r="B115" s="17"/>
      <c r="C115" s="17"/>
      <c r="D115" s="17"/>
      <c r="E115" s="17"/>
      <c r="F115" s="17"/>
      <c r="G115" s="17"/>
      <c r="H115" s="18"/>
      <c r="I115" s="19"/>
      <c r="J115" s="195"/>
      <c r="K115" s="195"/>
      <c r="L115" s="300"/>
      <c r="M115" s="300"/>
      <c r="N115" s="300"/>
      <c r="O115" s="195"/>
      <c r="P115" s="142"/>
      <c r="Q115" s="195"/>
      <c r="R115" s="142"/>
      <c r="S115" s="239"/>
      <c r="T115" s="142"/>
      <c r="U115" s="239"/>
      <c r="V115" s="195"/>
      <c r="W115" s="18"/>
      <c r="X115" s="18"/>
      <c r="Y115" s="63"/>
      <c r="Z115" s="22"/>
      <c r="AA115" s="22"/>
      <c r="AB115" s="20"/>
      <c r="AC115" s="20"/>
      <c r="AD115" s="20"/>
      <c r="AE115" s="20"/>
      <c r="AF115" s="20"/>
      <c r="AG115" s="20"/>
      <c r="AH115" s="20"/>
      <c r="AI115" s="20"/>
      <c r="AJ115" s="20"/>
      <c r="AK115" s="22"/>
      <c r="AL115" s="22"/>
      <c r="AM115" s="22"/>
      <c r="AN115" s="20"/>
      <c r="AO115" s="20"/>
      <c r="AP115" s="32"/>
    </row>
    <row r="116" spans="1:42" s="96" customFormat="1" x14ac:dyDescent="0.55000000000000004">
      <c r="A116" s="16"/>
      <c r="B116" s="17"/>
      <c r="C116" s="17"/>
      <c r="D116" s="17"/>
      <c r="E116" s="17"/>
      <c r="F116" s="17"/>
      <c r="G116" s="17"/>
      <c r="H116" s="18"/>
      <c r="I116" s="19"/>
      <c r="J116" s="195"/>
      <c r="K116" s="195"/>
      <c r="L116" s="300"/>
      <c r="M116" s="300"/>
      <c r="N116" s="300"/>
      <c r="O116" s="195"/>
      <c r="P116" s="142"/>
      <c r="Q116" s="195"/>
      <c r="R116" s="142"/>
      <c r="S116" s="239"/>
      <c r="T116" s="142"/>
      <c r="U116" s="239"/>
      <c r="V116" s="195"/>
      <c r="W116" s="23"/>
      <c r="X116" s="18"/>
      <c r="Y116" s="114"/>
      <c r="Z116" s="92"/>
      <c r="AA116" s="92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4"/>
      <c r="AN116" s="103"/>
      <c r="AO116" s="20"/>
      <c r="AP116" s="32"/>
    </row>
    <row r="117" spans="1:42" s="106" customFormat="1" ht="43.5" customHeight="1" x14ac:dyDescent="0.2">
      <c r="A117" s="85" t="s">
        <v>84</v>
      </c>
      <c r="B117" s="105"/>
      <c r="C117" s="105"/>
      <c r="D117" s="105"/>
      <c r="E117" s="105"/>
      <c r="F117" s="105"/>
      <c r="G117" s="105"/>
      <c r="H117" s="105"/>
      <c r="J117" s="139"/>
      <c r="K117" s="143"/>
      <c r="L117" s="303"/>
      <c r="M117" s="303"/>
      <c r="N117" s="303"/>
      <c r="O117" s="139"/>
      <c r="P117" s="139"/>
      <c r="Q117" s="139"/>
      <c r="R117" s="139"/>
      <c r="S117" s="235"/>
      <c r="T117" s="139"/>
      <c r="U117" s="235"/>
      <c r="V117" s="139"/>
      <c r="Y117" s="111"/>
      <c r="Z117" s="60"/>
      <c r="AA117" s="60"/>
      <c r="AB117" s="60"/>
      <c r="AC117" s="107"/>
      <c r="AD117" s="107"/>
      <c r="AE117" s="107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</row>
    <row r="118" spans="1:42" s="13" customFormat="1" ht="164.25" customHeight="1" x14ac:dyDescent="0.45">
      <c r="A118" s="73" t="s">
        <v>280</v>
      </c>
      <c r="B118" s="73" t="s">
        <v>96</v>
      </c>
      <c r="C118" s="74" t="s">
        <v>101</v>
      </c>
      <c r="D118" s="74" t="s">
        <v>20</v>
      </c>
      <c r="E118" s="74" t="s">
        <v>20</v>
      </c>
      <c r="F118" s="74" t="s">
        <v>20</v>
      </c>
      <c r="G118" s="74"/>
      <c r="H118" s="121" t="s">
        <v>258</v>
      </c>
      <c r="I118" s="121" t="s">
        <v>45</v>
      </c>
      <c r="J118" s="194"/>
      <c r="K118" s="388" t="s">
        <v>230</v>
      </c>
      <c r="L118" s="298"/>
      <c r="M118" s="298"/>
      <c r="N118" s="298" t="s">
        <v>244</v>
      </c>
      <c r="O118" s="194"/>
      <c r="P118" s="275"/>
      <c r="Q118" s="194"/>
      <c r="R118" s="141">
        <v>1</v>
      </c>
      <c r="S118" s="237">
        <f t="shared" ref="S118:S123" si="67">AF118</f>
        <v>180000</v>
      </c>
      <c r="T118" s="141"/>
      <c r="U118" s="237"/>
      <c r="V118" s="283"/>
      <c r="W118" s="73" t="s">
        <v>21</v>
      </c>
      <c r="X118" s="73" t="s">
        <v>21</v>
      </c>
      <c r="Y118" s="152" t="s">
        <v>20</v>
      </c>
      <c r="Z118" s="153" t="s">
        <v>20</v>
      </c>
      <c r="AA118" s="153"/>
      <c r="AB118" s="76">
        <v>400000</v>
      </c>
      <c r="AC118" s="330">
        <f>249693.88+75153.06</f>
        <v>324846.94</v>
      </c>
      <c r="AD118" s="330"/>
      <c r="AE118" s="330">
        <v>104846.94</v>
      </c>
      <c r="AF118" s="76">
        <f t="shared" ref="AF118:AF123" si="68">SUM(AG118:AO118)</f>
        <v>180000</v>
      </c>
      <c r="AG118" s="153"/>
      <c r="AH118" s="153">
        <f>200000-49693.88-75153.06</f>
        <v>75153.06</v>
      </c>
      <c r="AI118" s="75"/>
      <c r="AJ118" s="75"/>
      <c r="AK118" s="75">
        <f>200000-200000+104846.94</f>
        <v>104846.94</v>
      </c>
      <c r="AL118" s="75"/>
      <c r="AM118" s="153"/>
      <c r="AN118" s="153"/>
      <c r="AO118" s="153"/>
      <c r="AP118" s="162"/>
    </row>
    <row r="119" spans="1:42" s="13" customFormat="1" ht="251.25" customHeight="1" x14ac:dyDescent="0.45">
      <c r="A119" s="73" t="s">
        <v>281</v>
      </c>
      <c r="B119" s="73" t="s">
        <v>96</v>
      </c>
      <c r="C119" s="74" t="s">
        <v>101</v>
      </c>
      <c r="D119" s="74" t="s">
        <v>20</v>
      </c>
      <c r="E119" s="74" t="s">
        <v>20</v>
      </c>
      <c r="F119" s="74" t="s">
        <v>20</v>
      </c>
      <c r="G119" s="74"/>
      <c r="H119" s="121" t="s">
        <v>259</v>
      </c>
      <c r="I119" s="121" t="s">
        <v>43</v>
      </c>
      <c r="J119" s="194"/>
      <c r="K119" s="388" t="s">
        <v>230</v>
      </c>
      <c r="L119" s="298"/>
      <c r="M119" s="298"/>
      <c r="N119" s="298" t="s">
        <v>244</v>
      </c>
      <c r="O119" s="194"/>
      <c r="P119" s="275"/>
      <c r="Q119" s="194"/>
      <c r="R119" s="141">
        <v>1</v>
      </c>
      <c r="S119" s="237">
        <f t="shared" si="67"/>
        <v>0</v>
      </c>
      <c r="T119" s="141"/>
      <c r="U119" s="237"/>
      <c r="V119" s="283"/>
      <c r="W119" s="73" t="s">
        <v>21</v>
      </c>
      <c r="X119" s="73" t="s">
        <v>21</v>
      </c>
      <c r="Y119" s="152" t="s">
        <v>20</v>
      </c>
      <c r="Z119" s="153" t="s">
        <v>20</v>
      </c>
      <c r="AA119" s="153"/>
      <c r="AB119" s="76">
        <v>400000</v>
      </c>
      <c r="AC119" s="330">
        <f>AB119</f>
        <v>400000</v>
      </c>
      <c r="AD119" s="330"/>
      <c r="AE119" s="330"/>
      <c r="AF119" s="76">
        <f t="shared" si="68"/>
        <v>0</v>
      </c>
      <c r="AG119" s="153"/>
      <c r="AH119" s="75">
        <f>200000-200000</f>
        <v>0</v>
      </c>
      <c r="AI119" s="75"/>
      <c r="AJ119" s="75"/>
      <c r="AK119" s="153">
        <f>200000-200000</f>
        <v>0</v>
      </c>
      <c r="AL119" s="75"/>
      <c r="AM119" s="153"/>
      <c r="AN119" s="153"/>
      <c r="AO119" s="153"/>
      <c r="AP119" s="162"/>
    </row>
    <row r="120" spans="1:42" s="13" customFormat="1" ht="176.25" customHeight="1" x14ac:dyDescent="0.45">
      <c r="A120" s="73" t="s">
        <v>398</v>
      </c>
      <c r="B120" s="73" t="s">
        <v>96</v>
      </c>
      <c r="C120" s="74" t="s">
        <v>101</v>
      </c>
      <c r="D120" s="74" t="s">
        <v>20</v>
      </c>
      <c r="E120" s="74" t="s">
        <v>20</v>
      </c>
      <c r="F120" s="74" t="s">
        <v>20</v>
      </c>
      <c r="G120" s="74"/>
      <c r="H120" s="121" t="s">
        <v>399</v>
      </c>
      <c r="I120" s="121" t="s">
        <v>43</v>
      </c>
      <c r="J120" s="194"/>
      <c r="K120" s="388" t="s">
        <v>230</v>
      </c>
      <c r="L120" s="298"/>
      <c r="M120" s="298"/>
      <c r="N120" s="298" t="s">
        <v>244</v>
      </c>
      <c r="O120" s="194"/>
      <c r="P120" s="275"/>
      <c r="Q120" s="194"/>
      <c r="R120" s="141">
        <v>1</v>
      </c>
      <c r="S120" s="237">
        <f t="shared" si="67"/>
        <v>290000</v>
      </c>
      <c r="T120" s="141"/>
      <c r="U120" s="237"/>
      <c r="V120" s="283"/>
      <c r="W120" s="73" t="s">
        <v>21</v>
      </c>
      <c r="X120" s="73" t="s">
        <v>21</v>
      </c>
      <c r="Y120" s="152" t="s">
        <v>20</v>
      </c>
      <c r="Z120" s="153" t="s">
        <v>20</v>
      </c>
      <c r="AA120" s="153"/>
      <c r="AB120" s="76">
        <v>0</v>
      </c>
      <c r="AC120" s="330">
        <v>124846.94</v>
      </c>
      <c r="AD120" s="330"/>
      <c r="AE120" s="330">
        <f>249693.88+165153.06</f>
        <v>414846.94</v>
      </c>
      <c r="AF120" s="76">
        <f t="shared" si="68"/>
        <v>290000</v>
      </c>
      <c r="AG120" s="153"/>
      <c r="AH120" s="75">
        <f>249693.88-124846.94</f>
        <v>124846.94</v>
      </c>
      <c r="AI120" s="75"/>
      <c r="AJ120" s="75"/>
      <c r="AK120" s="153">
        <v>165153.06</v>
      </c>
      <c r="AL120" s="75"/>
      <c r="AM120" s="153"/>
      <c r="AN120" s="153"/>
      <c r="AO120" s="153"/>
      <c r="AP120" s="162"/>
    </row>
    <row r="121" spans="1:42" s="13" customFormat="1" ht="176.25" customHeight="1" x14ac:dyDescent="0.45">
      <c r="A121" s="73" t="s">
        <v>282</v>
      </c>
      <c r="B121" s="73" t="s">
        <v>96</v>
      </c>
      <c r="C121" s="74" t="s">
        <v>101</v>
      </c>
      <c r="D121" s="74" t="s">
        <v>20</v>
      </c>
      <c r="E121" s="74" t="s">
        <v>20</v>
      </c>
      <c r="F121" s="74" t="s">
        <v>20</v>
      </c>
      <c r="G121" s="74"/>
      <c r="H121" s="121" t="s">
        <v>223</v>
      </c>
      <c r="I121" s="73" t="s">
        <v>45</v>
      </c>
      <c r="J121" s="194"/>
      <c r="K121" s="388" t="s">
        <v>230</v>
      </c>
      <c r="L121" s="298"/>
      <c r="M121" s="298"/>
      <c r="N121" s="298" t="s">
        <v>244</v>
      </c>
      <c r="O121" s="194"/>
      <c r="P121" s="275"/>
      <c r="Q121" s="194"/>
      <c r="R121" s="141">
        <v>1</v>
      </c>
      <c r="S121" s="237">
        <f t="shared" si="67"/>
        <v>0</v>
      </c>
      <c r="T121" s="141"/>
      <c r="U121" s="237"/>
      <c r="V121" s="283"/>
      <c r="W121" s="73" t="s">
        <v>21</v>
      </c>
      <c r="X121" s="73" t="s">
        <v>21</v>
      </c>
      <c r="Y121" s="152" t="s">
        <v>20</v>
      </c>
      <c r="Z121" s="153" t="s">
        <v>20</v>
      </c>
      <c r="AA121" s="153"/>
      <c r="AB121" s="76">
        <v>1500000</v>
      </c>
      <c r="AC121" s="330">
        <f>AB121</f>
        <v>1500000</v>
      </c>
      <c r="AD121" s="330"/>
      <c r="AE121" s="330"/>
      <c r="AF121" s="76">
        <f t="shared" si="68"/>
        <v>0</v>
      </c>
      <c r="AG121" s="153"/>
      <c r="AH121" s="75">
        <f>750000-750000</f>
        <v>0</v>
      </c>
      <c r="AI121" s="75"/>
      <c r="AJ121" s="75"/>
      <c r="AK121" s="153">
        <f>750000-750000</f>
        <v>0</v>
      </c>
      <c r="AL121" s="75"/>
      <c r="AM121" s="153"/>
      <c r="AN121" s="153"/>
      <c r="AO121" s="153"/>
      <c r="AP121" s="162"/>
    </row>
    <row r="122" spans="1:42" s="13" customFormat="1" ht="176.25" customHeight="1" x14ac:dyDescent="0.45">
      <c r="A122" s="73" t="s">
        <v>400</v>
      </c>
      <c r="B122" s="73" t="s">
        <v>96</v>
      </c>
      <c r="C122" s="74" t="s">
        <v>101</v>
      </c>
      <c r="D122" s="74" t="s">
        <v>20</v>
      </c>
      <c r="E122" s="74" t="s">
        <v>20</v>
      </c>
      <c r="F122" s="74" t="s">
        <v>20</v>
      </c>
      <c r="G122" s="74"/>
      <c r="H122" s="121" t="s">
        <v>401</v>
      </c>
      <c r="I122" s="73" t="s">
        <v>45</v>
      </c>
      <c r="J122" s="194"/>
      <c r="K122" s="388" t="s">
        <v>230</v>
      </c>
      <c r="L122" s="298"/>
      <c r="M122" s="298"/>
      <c r="N122" s="298" t="s">
        <v>244</v>
      </c>
      <c r="O122" s="194"/>
      <c r="P122" s="275"/>
      <c r="Q122" s="194"/>
      <c r="R122" s="141">
        <v>1</v>
      </c>
      <c r="S122" s="237">
        <f t="shared" si="67"/>
        <v>1500000</v>
      </c>
      <c r="T122" s="141"/>
      <c r="U122" s="237"/>
      <c r="V122" s="283"/>
      <c r="W122" s="73" t="s">
        <v>21</v>
      </c>
      <c r="X122" s="73" t="s">
        <v>21</v>
      </c>
      <c r="Y122" s="152" t="s">
        <v>20</v>
      </c>
      <c r="Z122" s="153" t="s">
        <v>20</v>
      </c>
      <c r="AA122" s="153"/>
      <c r="AB122" s="76">
        <v>0</v>
      </c>
      <c r="AC122" s="330"/>
      <c r="AD122" s="330"/>
      <c r="AE122" s="330">
        <v>1500000</v>
      </c>
      <c r="AF122" s="76">
        <f t="shared" si="68"/>
        <v>1500000</v>
      </c>
      <c r="AG122" s="153"/>
      <c r="AH122" s="75">
        <v>750000</v>
      </c>
      <c r="AI122" s="75"/>
      <c r="AJ122" s="75"/>
      <c r="AK122" s="153">
        <v>750000</v>
      </c>
      <c r="AL122" s="75"/>
      <c r="AM122" s="153"/>
      <c r="AN122" s="153"/>
      <c r="AO122" s="153"/>
      <c r="AP122" s="162"/>
    </row>
    <row r="123" spans="1:42" s="13" customFormat="1" ht="176.25" customHeight="1" x14ac:dyDescent="0.45">
      <c r="A123" s="73" t="s">
        <v>402</v>
      </c>
      <c r="B123" s="73" t="s">
        <v>96</v>
      </c>
      <c r="C123" s="74" t="s">
        <v>75</v>
      </c>
      <c r="D123" s="74" t="s">
        <v>20</v>
      </c>
      <c r="E123" s="74" t="s">
        <v>20</v>
      </c>
      <c r="F123" s="74" t="s">
        <v>20</v>
      </c>
      <c r="G123" s="74"/>
      <c r="H123" s="121" t="s">
        <v>403</v>
      </c>
      <c r="I123" s="73" t="s">
        <v>45</v>
      </c>
      <c r="J123" s="194"/>
      <c r="K123" s="388" t="s">
        <v>230</v>
      </c>
      <c r="L123" s="298"/>
      <c r="M123" s="298"/>
      <c r="N123" s="298" t="s">
        <v>244</v>
      </c>
      <c r="O123" s="194"/>
      <c r="P123" s="275"/>
      <c r="Q123" s="194"/>
      <c r="R123" s="141">
        <v>1</v>
      </c>
      <c r="S123" s="237">
        <f t="shared" si="67"/>
        <v>260000</v>
      </c>
      <c r="T123" s="141"/>
      <c r="U123" s="237"/>
      <c r="V123" s="283"/>
      <c r="W123" s="73" t="s">
        <v>21</v>
      </c>
      <c r="X123" s="73" t="s">
        <v>21</v>
      </c>
      <c r="Y123" s="152" t="s">
        <v>20</v>
      </c>
      <c r="Z123" s="153" t="s">
        <v>20</v>
      </c>
      <c r="AA123" s="153"/>
      <c r="AB123" s="76">
        <v>0</v>
      </c>
      <c r="AC123" s="330">
        <v>270000</v>
      </c>
      <c r="AD123" s="330"/>
      <c r="AE123" s="330">
        <f>400000+130000</f>
        <v>530000</v>
      </c>
      <c r="AF123" s="76">
        <f t="shared" si="68"/>
        <v>260000</v>
      </c>
      <c r="AG123" s="153"/>
      <c r="AH123" s="75">
        <v>130000</v>
      </c>
      <c r="AI123" s="75"/>
      <c r="AJ123" s="75"/>
      <c r="AK123" s="153">
        <f>400000-270000</f>
        <v>130000</v>
      </c>
      <c r="AL123" s="75"/>
      <c r="AM123" s="153"/>
      <c r="AN123" s="153"/>
      <c r="AO123" s="153"/>
      <c r="AP123" s="162"/>
    </row>
    <row r="124" spans="1:42" s="13" customFormat="1" ht="63" customHeight="1" x14ac:dyDescent="0.55000000000000004">
      <c r="A124" s="72"/>
      <c r="B124" s="14"/>
      <c r="C124" s="14"/>
      <c r="D124" s="14"/>
      <c r="E124" s="14"/>
      <c r="F124" s="14"/>
      <c r="G124" s="14"/>
      <c r="I124" s="15"/>
      <c r="K124" s="288"/>
      <c r="L124" s="299"/>
      <c r="M124" s="299"/>
      <c r="N124" s="299"/>
      <c r="O124" s="288"/>
      <c r="P124" s="315">
        <f>SUM(P118:P123)</f>
        <v>0</v>
      </c>
      <c r="Q124" s="202"/>
      <c r="R124" s="151">
        <f>SUM(R118:R123)</f>
        <v>6</v>
      </c>
      <c r="S124" s="89">
        <f>SUM(S117:S123)</f>
        <v>2230000</v>
      </c>
      <c r="T124" s="151">
        <f>SUM(T118:T123)</f>
        <v>0</v>
      </c>
      <c r="U124" s="89">
        <f>SUM(U117:U123)</f>
        <v>0</v>
      </c>
      <c r="V124" s="207"/>
      <c r="W124" s="201"/>
      <c r="X124" s="201"/>
      <c r="Y124" s="208"/>
      <c r="Z124" s="201"/>
      <c r="AA124" s="15"/>
      <c r="AB124" s="89">
        <f>SUM(AB118:AB123)</f>
        <v>2300000</v>
      </c>
      <c r="AC124" s="89">
        <f t="shared" ref="AC124:AO124" si="69">SUM(AC118:AC123)</f>
        <v>2619693.88</v>
      </c>
      <c r="AD124" s="89">
        <f t="shared" si="69"/>
        <v>0</v>
      </c>
      <c r="AE124" s="89">
        <f t="shared" si="69"/>
        <v>2549693.88</v>
      </c>
      <c r="AF124" s="89">
        <f t="shared" si="69"/>
        <v>2230000</v>
      </c>
      <c r="AG124" s="89">
        <f t="shared" si="69"/>
        <v>0</v>
      </c>
      <c r="AH124" s="89">
        <f t="shared" si="69"/>
        <v>1080000</v>
      </c>
      <c r="AI124" s="89">
        <f t="shared" si="69"/>
        <v>0</v>
      </c>
      <c r="AJ124" s="89">
        <f t="shared" si="69"/>
        <v>0</v>
      </c>
      <c r="AK124" s="89">
        <f t="shared" si="69"/>
        <v>1150000</v>
      </c>
      <c r="AL124" s="89">
        <f t="shared" si="69"/>
        <v>0</v>
      </c>
      <c r="AM124" s="89">
        <f t="shared" si="69"/>
        <v>0</v>
      </c>
      <c r="AN124" s="89">
        <f t="shared" si="69"/>
        <v>0</v>
      </c>
      <c r="AO124" s="89">
        <f t="shared" si="69"/>
        <v>0</v>
      </c>
      <c r="AP124" s="294">
        <f>SUM(AP118:AP118)</f>
        <v>0</v>
      </c>
    </row>
    <row r="125" spans="1:42" s="96" customFormat="1" ht="24" customHeight="1" x14ac:dyDescent="0.55000000000000004">
      <c r="A125" s="90"/>
      <c r="B125" s="91"/>
      <c r="C125" s="91"/>
      <c r="D125" s="91"/>
      <c r="E125" s="91"/>
      <c r="F125" s="91"/>
      <c r="G125" s="91"/>
      <c r="H125" s="18"/>
      <c r="I125" s="171"/>
      <c r="J125" s="195"/>
      <c r="K125" s="143"/>
      <c r="L125" s="303"/>
      <c r="M125" s="303"/>
      <c r="N125" s="303"/>
      <c r="O125" s="195"/>
      <c r="P125" s="211"/>
      <c r="Q125" s="195"/>
      <c r="R125" s="211"/>
      <c r="S125" s="91"/>
      <c r="T125" s="211"/>
      <c r="U125" s="91"/>
      <c r="V125" s="143"/>
      <c r="W125" s="92"/>
      <c r="X125" s="92"/>
      <c r="Y125" s="94"/>
      <c r="Z125" s="91"/>
      <c r="AA125" s="91"/>
      <c r="AB125" s="91"/>
      <c r="AC125" s="331"/>
      <c r="AD125" s="331"/>
      <c r="AE125" s="33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120"/>
    </row>
    <row r="126" spans="1:42" s="22" customFormat="1" ht="67.5" customHeight="1" x14ac:dyDescent="0.55000000000000004">
      <c r="A126" s="27"/>
      <c r="B126" s="27"/>
      <c r="C126" s="27"/>
      <c r="D126" s="27"/>
      <c r="E126" s="27"/>
      <c r="F126" s="27"/>
      <c r="G126" s="27"/>
      <c r="H126" s="28"/>
      <c r="I126" s="196"/>
      <c r="J126" s="196"/>
      <c r="K126" s="196"/>
      <c r="L126" s="301"/>
      <c r="M126" s="301"/>
      <c r="N126" s="301"/>
      <c r="O126" s="196"/>
      <c r="P126" s="167">
        <f>P124</f>
        <v>0</v>
      </c>
      <c r="Q126" s="196"/>
      <c r="R126" s="167">
        <f>R124</f>
        <v>6</v>
      </c>
      <c r="S126" s="133">
        <f>S124</f>
        <v>2230000</v>
      </c>
      <c r="T126" s="167">
        <f>T124</f>
        <v>0</v>
      </c>
      <c r="U126" s="133">
        <f>U124</f>
        <v>0</v>
      </c>
      <c r="V126" s="196"/>
      <c r="W126" s="337" t="s">
        <v>22</v>
      </c>
      <c r="X126" s="338"/>
      <c r="Y126" s="338"/>
      <c r="Z126" s="338"/>
      <c r="AA126" s="183"/>
      <c r="AB126" s="133">
        <f t="shared" ref="AB126:AE126" si="70">AB124</f>
        <v>2300000</v>
      </c>
      <c r="AC126" s="133">
        <f t="shared" si="70"/>
        <v>2619693.88</v>
      </c>
      <c r="AD126" s="133">
        <f t="shared" si="70"/>
        <v>0</v>
      </c>
      <c r="AE126" s="133">
        <f t="shared" si="70"/>
        <v>2549693.88</v>
      </c>
      <c r="AF126" s="133">
        <f>AF124</f>
        <v>2230000</v>
      </c>
      <c r="AG126" s="133">
        <f t="shared" ref="AG126:AP126" si="71">AG124</f>
        <v>0</v>
      </c>
      <c r="AH126" s="133">
        <f t="shared" si="71"/>
        <v>1080000</v>
      </c>
      <c r="AI126" s="133">
        <f t="shared" si="71"/>
        <v>0</v>
      </c>
      <c r="AJ126" s="133">
        <f t="shared" si="71"/>
        <v>0</v>
      </c>
      <c r="AK126" s="133">
        <f t="shared" si="71"/>
        <v>1150000</v>
      </c>
      <c r="AL126" s="133">
        <f t="shared" si="71"/>
        <v>0</v>
      </c>
      <c r="AM126" s="133">
        <f t="shared" si="71"/>
        <v>0</v>
      </c>
      <c r="AN126" s="133">
        <f t="shared" si="71"/>
        <v>0</v>
      </c>
      <c r="AO126" s="133">
        <f t="shared" si="71"/>
        <v>0</v>
      </c>
      <c r="AP126" s="295">
        <f t="shared" si="71"/>
        <v>0</v>
      </c>
    </row>
    <row r="127" spans="1:42" s="13" customFormat="1" ht="27" customHeight="1" x14ac:dyDescent="0.55000000000000004">
      <c r="A127" s="16"/>
      <c r="B127" s="17"/>
      <c r="C127" s="17"/>
      <c r="D127" s="17"/>
      <c r="E127" s="17"/>
      <c r="F127" s="17"/>
      <c r="G127" s="17"/>
      <c r="H127" s="18"/>
      <c r="I127" s="19"/>
      <c r="J127" s="195"/>
      <c r="K127" s="195"/>
      <c r="L127" s="300"/>
      <c r="M127" s="300"/>
      <c r="N127" s="300"/>
      <c r="O127" s="195"/>
      <c r="P127" s="142"/>
      <c r="Q127" s="195"/>
      <c r="R127" s="142"/>
      <c r="S127" s="239"/>
      <c r="T127" s="142"/>
      <c r="U127" s="239"/>
      <c r="V127" s="195"/>
      <c r="W127" s="18"/>
      <c r="X127" s="18"/>
      <c r="Y127" s="63"/>
      <c r="Z127" s="22"/>
      <c r="AA127" s="22"/>
      <c r="AB127" s="20"/>
      <c r="AC127" s="20"/>
      <c r="AD127" s="20"/>
      <c r="AE127" s="20"/>
      <c r="AF127" s="20"/>
      <c r="AG127" s="20"/>
      <c r="AH127" s="20"/>
      <c r="AI127" s="20"/>
      <c r="AJ127" s="20"/>
      <c r="AK127" s="22"/>
      <c r="AL127" s="22"/>
      <c r="AM127" s="22"/>
      <c r="AN127" s="20"/>
      <c r="AO127" s="20"/>
      <c r="AP127" s="32"/>
    </row>
    <row r="128" spans="1:42" s="96" customFormat="1" x14ac:dyDescent="0.55000000000000004">
      <c r="A128" s="16"/>
      <c r="B128" s="17"/>
      <c r="C128" s="17"/>
      <c r="D128" s="17"/>
      <c r="E128" s="17"/>
      <c r="F128" s="17"/>
      <c r="G128" s="17"/>
      <c r="H128" s="18"/>
      <c r="I128" s="19"/>
      <c r="J128" s="195"/>
      <c r="K128" s="195"/>
      <c r="L128" s="300"/>
      <c r="M128" s="300"/>
      <c r="N128" s="300"/>
      <c r="O128" s="195"/>
      <c r="P128" s="142"/>
      <c r="Q128" s="195"/>
      <c r="R128" s="142"/>
      <c r="S128" s="239"/>
      <c r="T128" s="142"/>
      <c r="U128" s="239"/>
      <c r="V128" s="195"/>
      <c r="W128" s="23"/>
      <c r="X128" s="18"/>
      <c r="Y128" s="114"/>
      <c r="Z128" s="92"/>
      <c r="AA128" s="92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4"/>
      <c r="AN128" s="103"/>
      <c r="AO128" s="20"/>
      <c r="AP128" s="32"/>
    </row>
    <row r="129" spans="1:42" s="85" customFormat="1" ht="43.5" customHeight="1" x14ac:dyDescent="0.2">
      <c r="A129" s="85" t="s">
        <v>266</v>
      </c>
      <c r="B129" s="86"/>
      <c r="C129" s="86"/>
      <c r="D129" s="86"/>
      <c r="E129" s="86"/>
      <c r="F129" s="86"/>
      <c r="G129" s="86"/>
      <c r="H129" s="86"/>
      <c r="J129" s="145"/>
      <c r="K129" s="321"/>
      <c r="L129" s="320"/>
      <c r="M129" s="320"/>
      <c r="N129" s="320"/>
      <c r="O129" s="145"/>
      <c r="P129" s="145"/>
      <c r="Q129" s="145"/>
      <c r="R129" s="145"/>
      <c r="S129" s="241"/>
      <c r="T129" s="145"/>
      <c r="U129" s="241"/>
      <c r="V129" s="145"/>
      <c r="Y129" s="87"/>
      <c r="Z129" s="87"/>
      <c r="AA129" s="87"/>
      <c r="AB129" s="87"/>
      <c r="AC129" s="333"/>
      <c r="AD129" s="333"/>
      <c r="AE129" s="333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</row>
    <row r="130" spans="1:42" s="99" customFormat="1" ht="43.5" customHeight="1" x14ac:dyDescent="0.2">
      <c r="A130" s="97" t="s">
        <v>70</v>
      </c>
      <c r="B130" s="98"/>
      <c r="C130" s="98"/>
      <c r="D130" s="98"/>
      <c r="E130" s="98"/>
      <c r="F130" s="98"/>
      <c r="G130" s="98"/>
      <c r="H130" s="98"/>
      <c r="J130" s="140"/>
      <c r="K130" s="317"/>
      <c r="L130" s="318"/>
      <c r="M130" s="318"/>
      <c r="N130" s="318"/>
      <c r="O130" s="140"/>
      <c r="P130" s="140"/>
      <c r="Q130" s="140"/>
      <c r="R130" s="140"/>
      <c r="S130" s="236"/>
      <c r="T130" s="140"/>
      <c r="U130" s="236"/>
      <c r="V130" s="14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</row>
    <row r="131" spans="1:42" s="13" customFormat="1" ht="187.5" customHeight="1" x14ac:dyDescent="0.45">
      <c r="A131" s="73" t="s">
        <v>283</v>
      </c>
      <c r="B131" s="73" t="s">
        <v>198</v>
      </c>
      <c r="C131" s="74" t="s">
        <v>76</v>
      </c>
      <c r="D131" s="74" t="s">
        <v>20</v>
      </c>
      <c r="E131" s="74" t="s">
        <v>20</v>
      </c>
      <c r="F131" s="74" t="s">
        <v>20</v>
      </c>
      <c r="G131" s="74"/>
      <c r="H131" s="121" t="s">
        <v>212</v>
      </c>
      <c r="I131" s="73" t="s">
        <v>42</v>
      </c>
      <c r="J131" s="194"/>
      <c r="K131" s="277" t="s">
        <v>231</v>
      </c>
      <c r="L131" s="311">
        <v>43165</v>
      </c>
      <c r="M131" s="311">
        <v>43172</v>
      </c>
      <c r="N131" s="311" t="s">
        <v>240</v>
      </c>
      <c r="O131" s="194"/>
      <c r="P131" s="272"/>
      <c r="Q131" s="194"/>
      <c r="R131" s="141"/>
      <c r="S131" s="237"/>
      <c r="T131" s="141">
        <v>1</v>
      </c>
      <c r="U131" s="237">
        <f>AF131</f>
        <v>1200468.8</v>
      </c>
      <c r="V131" s="281"/>
      <c r="W131" s="73" t="s">
        <v>54</v>
      </c>
      <c r="X131" s="73" t="s">
        <v>21</v>
      </c>
      <c r="Y131" s="152" t="s">
        <v>20</v>
      </c>
      <c r="Z131" s="152" t="s">
        <v>20</v>
      </c>
      <c r="AA131" s="153" t="s">
        <v>20</v>
      </c>
      <c r="AB131" s="76">
        <v>1200468.8</v>
      </c>
      <c r="AC131" s="330"/>
      <c r="AD131" s="330"/>
      <c r="AE131" s="330"/>
      <c r="AF131" s="76">
        <f>SUM(AG131:AO131)</f>
        <v>1200468.8</v>
      </c>
      <c r="AG131" s="153"/>
      <c r="AH131" s="75">
        <v>600234.4</v>
      </c>
      <c r="AI131" s="75"/>
      <c r="AJ131" s="75"/>
      <c r="AK131" s="153">
        <v>600234.4</v>
      </c>
      <c r="AL131" s="75"/>
      <c r="AM131" s="153"/>
      <c r="AN131" s="153"/>
      <c r="AO131" s="153"/>
      <c r="AP131" s="162"/>
    </row>
    <row r="132" spans="1:42" s="13" customFormat="1" ht="63" customHeight="1" x14ac:dyDescent="0.55000000000000004">
      <c r="A132" s="14"/>
      <c r="B132" s="14"/>
      <c r="C132" s="14"/>
      <c r="D132" s="14"/>
      <c r="E132" s="14"/>
      <c r="F132" s="14"/>
      <c r="G132" s="14"/>
      <c r="I132" s="15"/>
      <c r="K132" s="288"/>
      <c r="L132" s="299"/>
      <c r="M132" s="299"/>
      <c r="N132" s="299"/>
      <c r="O132" s="288"/>
      <c r="P132" s="315">
        <f>SUM(P131:P131)</f>
        <v>0</v>
      </c>
      <c r="Q132" s="202"/>
      <c r="R132" s="151">
        <f>SUM(R131:R131)</f>
        <v>0</v>
      </c>
      <c r="S132" s="89">
        <f t="shared" ref="S132" si="72">SUM(S131:S131)</f>
        <v>0</v>
      </c>
      <c r="T132" s="151">
        <f>SUM(T131:T131)</f>
        <v>1</v>
      </c>
      <c r="U132" s="89">
        <f t="shared" ref="U132" si="73">SUM(U131:U131)</f>
        <v>1200468.8</v>
      </c>
      <c r="V132" s="207"/>
      <c r="W132" s="201"/>
      <c r="X132" s="201"/>
      <c r="Y132" s="208"/>
      <c r="Z132" s="201"/>
      <c r="AA132" s="15"/>
      <c r="AB132" s="89">
        <f t="shared" ref="AB132:AE132" si="74">SUM(AB131:AB131)</f>
        <v>1200468.8</v>
      </c>
      <c r="AC132" s="238">
        <f t="shared" si="74"/>
        <v>0</v>
      </c>
      <c r="AD132" s="238">
        <f t="shared" si="74"/>
        <v>0</v>
      </c>
      <c r="AE132" s="238">
        <f t="shared" si="74"/>
        <v>0</v>
      </c>
      <c r="AF132" s="89">
        <f>SUM(AF131:AF131)</f>
        <v>1200468.8</v>
      </c>
      <c r="AG132" s="89">
        <f t="shared" ref="AG132:AJ132" si="75">SUM(AG131:AG131)</f>
        <v>0</v>
      </c>
      <c r="AH132" s="89">
        <f t="shared" si="75"/>
        <v>600234.4</v>
      </c>
      <c r="AI132" s="89">
        <f t="shared" si="75"/>
        <v>0</v>
      </c>
      <c r="AJ132" s="89">
        <f t="shared" si="75"/>
        <v>0</v>
      </c>
      <c r="AK132" s="89">
        <f t="shared" ref="AK132:AO132" si="76">SUM(AK131:AK131)</f>
        <v>600234.4</v>
      </c>
      <c r="AL132" s="89">
        <f t="shared" si="76"/>
        <v>0</v>
      </c>
      <c r="AM132" s="89">
        <f t="shared" si="76"/>
        <v>0</v>
      </c>
      <c r="AN132" s="89">
        <f t="shared" si="76"/>
        <v>0</v>
      </c>
      <c r="AO132" s="89">
        <f t="shared" si="76"/>
        <v>0</v>
      </c>
      <c r="AP132" s="294" t="e">
        <f>SUM(#REF!)</f>
        <v>#REF!</v>
      </c>
    </row>
    <row r="133" spans="1:42" s="96" customFormat="1" ht="24" customHeight="1" x14ac:dyDescent="0.55000000000000004">
      <c r="A133" s="90"/>
      <c r="B133" s="91"/>
      <c r="C133" s="91"/>
      <c r="D133" s="91"/>
      <c r="E133" s="91"/>
      <c r="F133" s="91"/>
      <c r="G133" s="91"/>
      <c r="H133" s="18"/>
      <c r="I133" s="171"/>
      <c r="J133" s="195"/>
      <c r="K133" s="143"/>
      <c r="L133" s="303"/>
      <c r="M133" s="303"/>
      <c r="N133" s="303"/>
      <c r="O133" s="195"/>
      <c r="P133" s="211"/>
      <c r="Q133" s="195"/>
      <c r="R133" s="211"/>
      <c r="S133" s="91"/>
      <c r="T133" s="211"/>
      <c r="U133" s="91"/>
      <c r="V133" s="143"/>
      <c r="W133" s="92"/>
      <c r="X133" s="92"/>
      <c r="Y133" s="94"/>
      <c r="Z133" s="91"/>
      <c r="AA133" s="91"/>
      <c r="AB133" s="91"/>
      <c r="AC133" s="331"/>
      <c r="AD133" s="331"/>
      <c r="AE133" s="33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120"/>
    </row>
    <row r="134" spans="1:42" s="22" customFormat="1" ht="67.5" customHeight="1" x14ac:dyDescent="0.55000000000000004">
      <c r="A134" s="27"/>
      <c r="B134" s="27"/>
      <c r="C134" s="27"/>
      <c r="D134" s="27"/>
      <c r="E134" s="27"/>
      <c r="F134" s="27"/>
      <c r="G134" s="27"/>
      <c r="H134" s="28"/>
      <c r="I134" s="196"/>
      <c r="J134" s="196"/>
      <c r="K134" s="196"/>
      <c r="L134" s="301"/>
      <c r="M134" s="301"/>
      <c r="N134" s="301"/>
      <c r="O134" s="196"/>
      <c r="P134" s="167">
        <f>P132</f>
        <v>0</v>
      </c>
      <c r="Q134" s="196"/>
      <c r="R134" s="167">
        <f>R132</f>
        <v>0</v>
      </c>
      <c r="S134" s="133">
        <f t="shared" ref="S134" si="77">S132</f>
        <v>0</v>
      </c>
      <c r="T134" s="167">
        <f>T132</f>
        <v>1</v>
      </c>
      <c r="U134" s="133">
        <f t="shared" ref="U134" si="78">U132</f>
        <v>1200468.8</v>
      </c>
      <c r="V134" s="196"/>
      <c r="W134" s="337" t="s">
        <v>22</v>
      </c>
      <c r="X134" s="338"/>
      <c r="Y134" s="338"/>
      <c r="Z134" s="338"/>
      <c r="AA134" s="183"/>
      <c r="AB134" s="133">
        <f t="shared" ref="AB134:AE134" si="79">AB132</f>
        <v>1200468.8</v>
      </c>
      <c r="AC134" s="133">
        <f t="shared" si="79"/>
        <v>0</v>
      </c>
      <c r="AD134" s="133">
        <f t="shared" si="79"/>
        <v>0</v>
      </c>
      <c r="AE134" s="133">
        <f t="shared" si="79"/>
        <v>0</v>
      </c>
      <c r="AF134" s="133">
        <f>AF132</f>
        <v>1200468.8</v>
      </c>
      <c r="AG134" s="133">
        <f t="shared" ref="AG134:AJ134" si="80">AG132</f>
        <v>0</v>
      </c>
      <c r="AH134" s="133">
        <f t="shared" si="80"/>
        <v>600234.4</v>
      </c>
      <c r="AI134" s="133">
        <f t="shared" si="80"/>
        <v>0</v>
      </c>
      <c r="AJ134" s="133">
        <f t="shared" si="80"/>
        <v>0</v>
      </c>
      <c r="AK134" s="133">
        <f t="shared" ref="AK134:AP134" si="81">AK132</f>
        <v>600234.4</v>
      </c>
      <c r="AL134" s="133">
        <f t="shared" si="81"/>
        <v>0</v>
      </c>
      <c r="AM134" s="133">
        <f t="shared" si="81"/>
        <v>0</v>
      </c>
      <c r="AN134" s="133">
        <f t="shared" si="81"/>
        <v>0</v>
      </c>
      <c r="AO134" s="133">
        <f t="shared" si="81"/>
        <v>0</v>
      </c>
      <c r="AP134" s="295" t="e">
        <f t="shared" si="81"/>
        <v>#REF!</v>
      </c>
    </row>
    <row r="135" spans="1:42" s="13" customFormat="1" ht="27" customHeight="1" x14ac:dyDescent="0.55000000000000004">
      <c r="A135" s="16"/>
      <c r="B135" s="17"/>
      <c r="C135" s="17"/>
      <c r="D135" s="17"/>
      <c r="E135" s="17"/>
      <c r="F135" s="17"/>
      <c r="G135" s="17"/>
      <c r="H135" s="18"/>
      <c r="I135" s="19"/>
      <c r="J135" s="195"/>
      <c r="K135" s="195"/>
      <c r="L135" s="300"/>
      <c r="M135" s="300"/>
      <c r="N135" s="300"/>
      <c r="O135" s="195"/>
      <c r="P135" s="142"/>
      <c r="Q135" s="195"/>
      <c r="R135" s="142"/>
      <c r="S135" s="239"/>
      <c r="T135" s="142"/>
      <c r="U135" s="239"/>
      <c r="V135" s="195"/>
      <c r="W135" s="18"/>
      <c r="X135" s="18"/>
      <c r="Y135" s="63"/>
      <c r="Z135" s="22"/>
      <c r="AA135" s="22"/>
      <c r="AB135" s="20"/>
      <c r="AC135" s="20"/>
      <c r="AD135" s="20"/>
      <c r="AE135" s="20"/>
      <c r="AF135" s="20"/>
      <c r="AG135" s="20"/>
      <c r="AH135" s="20"/>
      <c r="AI135" s="20"/>
      <c r="AJ135" s="20"/>
      <c r="AK135" s="22"/>
      <c r="AL135" s="22"/>
      <c r="AM135" s="22"/>
      <c r="AN135" s="20"/>
      <c r="AO135" s="20"/>
      <c r="AP135" s="32"/>
    </row>
    <row r="136" spans="1:42" s="96" customFormat="1" x14ac:dyDescent="0.55000000000000004">
      <c r="A136" s="16"/>
      <c r="B136" s="17"/>
      <c r="C136" s="17"/>
      <c r="D136" s="17"/>
      <c r="E136" s="17"/>
      <c r="F136" s="17"/>
      <c r="G136" s="17"/>
      <c r="H136" s="18"/>
      <c r="I136" s="19"/>
      <c r="J136" s="195"/>
      <c r="K136" s="195"/>
      <c r="L136" s="300"/>
      <c r="M136" s="300"/>
      <c r="N136" s="300"/>
      <c r="O136" s="195"/>
      <c r="P136" s="142"/>
      <c r="Q136" s="195"/>
      <c r="R136" s="142"/>
      <c r="S136" s="239"/>
      <c r="T136" s="142"/>
      <c r="U136" s="239"/>
      <c r="V136" s="195"/>
      <c r="W136" s="23"/>
      <c r="X136" s="18"/>
      <c r="Y136" s="114"/>
      <c r="Z136" s="92"/>
      <c r="AA136" s="92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4"/>
      <c r="AN136" s="103"/>
      <c r="AO136" s="20"/>
      <c r="AP136" s="32"/>
    </row>
    <row r="137" spans="1:42" s="85" customFormat="1" ht="43.5" customHeight="1" x14ac:dyDescent="0.2">
      <c r="A137" s="85" t="s">
        <v>83</v>
      </c>
      <c r="B137" s="86"/>
      <c r="C137" s="86"/>
      <c r="D137" s="86"/>
      <c r="E137" s="86"/>
      <c r="F137" s="86"/>
      <c r="G137" s="86"/>
      <c r="H137" s="86"/>
      <c r="J137" s="145"/>
      <c r="K137" s="321"/>
      <c r="L137" s="320"/>
      <c r="M137" s="320"/>
      <c r="N137" s="320"/>
      <c r="O137" s="145"/>
      <c r="P137" s="145"/>
      <c r="Q137" s="145"/>
      <c r="R137" s="145"/>
      <c r="S137" s="241"/>
      <c r="T137" s="145"/>
      <c r="U137" s="241"/>
      <c r="V137" s="145"/>
      <c r="Y137" s="87"/>
      <c r="Z137" s="87"/>
      <c r="AA137" s="87"/>
      <c r="AB137" s="87"/>
      <c r="AC137" s="333"/>
      <c r="AD137" s="333"/>
      <c r="AE137" s="333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</row>
    <row r="138" spans="1:42" s="99" customFormat="1" ht="43.5" customHeight="1" x14ac:dyDescent="0.2">
      <c r="A138" s="97" t="s">
        <v>38</v>
      </c>
      <c r="B138" s="98"/>
      <c r="C138" s="98"/>
      <c r="D138" s="98"/>
      <c r="E138" s="98"/>
      <c r="F138" s="98"/>
      <c r="G138" s="98"/>
      <c r="H138" s="98"/>
      <c r="J138" s="140"/>
      <c r="K138" s="317"/>
      <c r="L138" s="318"/>
      <c r="M138" s="318"/>
      <c r="N138" s="318"/>
      <c r="O138" s="140"/>
      <c r="P138" s="140"/>
      <c r="Q138" s="140"/>
      <c r="R138" s="140"/>
      <c r="S138" s="236"/>
      <c r="T138" s="140"/>
      <c r="U138" s="236"/>
      <c r="V138" s="14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</row>
    <row r="139" spans="1:42" s="13" customFormat="1" ht="225" customHeight="1" x14ac:dyDescent="0.45">
      <c r="A139" s="73" t="s">
        <v>284</v>
      </c>
      <c r="B139" s="73" t="s">
        <v>74</v>
      </c>
      <c r="C139" s="74" t="s">
        <v>75</v>
      </c>
      <c r="D139" s="74" t="s">
        <v>20</v>
      </c>
      <c r="E139" s="74" t="s">
        <v>20</v>
      </c>
      <c r="F139" s="74" t="s">
        <v>20</v>
      </c>
      <c r="G139" s="74"/>
      <c r="H139" s="121" t="s">
        <v>159</v>
      </c>
      <c r="I139" s="73" t="s">
        <v>45</v>
      </c>
      <c r="J139" s="194"/>
      <c r="K139" s="277" t="s">
        <v>204</v>
      </c>
      <c r="L139" s="311">
        <v>43165</v>
      </c>
      <c r="M139" s="311">
        <v>43172</v>
      </c>
      <c r="N139" s="311" t="s">
        <v>247</v>
      </c>
      <c r="O139" s="194"/>
      <c r="P139" s="271"/>
      <c r="Q139" s="194"/>
      <c r="R139" s="141">
        <v>1</v>
      </c>
      <c r="S139" s="237">
        <f>AF139</f>
        <v>690738.66</v>
      </c>
      <c r="T139" s="141"/>
      <c r="U139" s="237"/>
      <c r="V139" s="280"/>
      <c r="W139" s="73" t="s">
        <v>21</v>
      </c>
      <c r="X139" s="73" t="s">
        <v>21</v>
      </c>
      <c r="Y139" s="152" t="s">
        <v>20</v>
      </c>
      <c r="Z139" s="153" t="s">
        <v>20</v>
      </c>
      <c r="AA139" s="153" t="s">
        <v>20</v>
      </c>
      <c r="AB139" s="76">
        <v>690738.66</v>
      </c>
      <c r="AC139" s="330"/>
      <c r="AD139" s="330"/>
      <c r="AE139" s="330"/>
      <c r="AF139" s="76">
        <f>SUM(AG139:AO139)</f>
        <v>690738.66</v>
      </c>
      <c r="AG139" s="153">
        <v>690738.66</v>
      </c>
      <c r="AH139" s="153"/>
      <c r="AI139" s="153"/>
      <c r="AJ139" s="153"/>
      <c r="AK139" s="153"/>
      <c r="AL139" s="153"/>
      <c r="AM139" s="153"/>
      <c r="AN139" s="153"/>
      <c r="AO139" s="153"/>
      <c r="AP139" s="162"/>
    </row>
    <row r="140" spans="1:42" s="13" customFormat="1" ht="225" customHeight="1" x14ac:dyDescent="0.45">
      <c r="A140" s="73" t="s">
        <v>285</v>
      </c>
      <c r="B140" s="73" t="s">
        <v>205</v>
      </c>
      <c r="C140" s="74" t="s">
        <v>55</v>
      </c>
      <c r="D140" s="74" t="s">
        <v>20</v>
      </c>
      <c r="E140" s="74" t="s">
        <v>20</v>
      </c>
      <c r="F140" s="74" t="s">
        <v>20</v>
      </c>
      <c r="G140" s="74"/>
      <c r="H140" s="121" t="s">
        <v>91</v>
      </c>
      <c r="I140" s="73" t="s">
        <v>45</v>
      </c>
      <c r="J140" s="194"/>
      <c r="K140" s="277" t="s">
        <v>204</v>
      </c>
      <c r="L140" s="311">
        <v>43165</v>
      </c>
      <c r="M140" s="311">
        <v>43172</v>
      </c>
      <c r="N140" s="311" t="s">
        <v>247</v>
      </c>
      <c r="O140" s="194"/>
      <c r="P140" s="276"/>
      <c r="Q140" s="194"/>
      <c r="R140" s="141">
        <v>1</v>
      </c>
      <c r="S140" s="237">
        <f>AF140</f>
        <v>950000</v>
      </c>
      <c r="T140" s="141"/>
      <c r="U140" s="237"/>
      <c r="V140" s="285"/>
      <c r="W140" s="73" t="s">
        <v>21</v>
      </c>
      <c r="X140" s="73" t="s">
        <v>21</v>
      </c>
      <c r="Y140" s="152" t="s">
        <v>20</v>
      </c>
      <c r="Z140" s="153" t="s">
        <v>20</v>
      </c>
      <c r="AA140" s="153" t="s">
        <v>20</v>
      </c>
      <c r="AB140" s="76">
        <v>950000</v>
      </c>
      <c r="AC140" s="330"/>
      <c r="AD140" s="330"/>
      <c r="AE140" s="330"/>
      <c r="AF140" s="76">
        <f>SUM(AG140:AO140)</f>
        <v>950000</v>
      </c>
      <c r="AG140" s="153">
        <v>950000</v>
      </c>
      <c r="AH140" s="75"/>
      <c r="AI140" s="75"/>
      <c r="AJ140" s="75"/>
      <c r="AK140" s="75"/>
      <c r="AL140" s="75"/>
      <c r="AM140" s="153"/>
      <c r="AN140" s="153"/>
      <c r="AO140" s="153"/>
      <c r="AP140" s="162"/>
    </row>
    <row r="141" spans="1:42" s="13" customFormat="1" ht="225" customHeight="1" x14ac:dyDescent="0.45">
      <c r="A141" s="73" t="s">
        <v>286</v>
      </c>
      <c r="B141" s="73" t="s">
        <v>92</v>
      </c>
      <c r="C141" s="74" t="s">
        <v>55</v>
      </c>
      <c r="D141" s="74" t="s">
        <v>20</v>
      </c>
      <c r="E141" s="74" t="s">
        <v>20</v>
      </c>
      <c r="F141" s="74" t="s">
        <v>20</v>
      </c>
      <c r="G141" s="74"/>
      <c r="H141" s="121" t="s">
        <v>161</v>
      </c>
      <c r="I141" s="73" t="s">
        <v>45</v>
      </c>
      <c r="J141" s="194"/>
      <c r="K141" s="277" t="s">
        <v>204</v>
      </c>
      <c r="L141" s="311">
        <v>43165</v>
      </c>
      <c r="M141" s="311">
        <v>43172</v>
      </c>
      <c r="N141" s="311" t="s">
        <v>247</v>
      </c>
      <c r="O141" s="194"/>
      <c r="P141" s="276"/>
      <c r="Q141" s="194"/>
      <c r="R141" s="141">
        <v>1</v>
      </c>
      <c r="S141" s="237">
        <f>AF141</f>
        <v>1419335.4</v>
      </c>
      <c r="T141" s="141"/>
      <c r="U141" s="237"/>
      <c r="V141" s="285"/>
      <c r="W141" s="73" t="s">
        <v>21</v>
      </c>
      <c r="X141" s="73" t="s">
        <v>21</v>
      </c>
      <c r="Y141" s="152" t="s">
        <v>20</v>
      </c>
      <c r="Z141" s="153" t="s">
        <v>20</v>
      </c>
      <c r="AA141" s="153"/>
      <c r="AB141" s="76">
        <v>1419335.4</v>
      </c>
      <c r="AC141" s="330"/>
      <c r="AD141" s="330"/>
      <c r="AE141" s="330"/>
      <c r="AF141" s="76">
        <f>SUM(AG141:AO141)</f>
        <v>1419335.4</v>
      </c>
      <c r="AG141" s="153">
        <v>1419335.4</v>
      </c>
      <c r="AH141" s="75"/>
      <c r="AI141" s="75"/>
      <c r="AJ141" s="75"/>
      <c r="AK141" s="75"/>
      <c r="AL141" s="75"/>
      <c r="AM141" s="153"/>
      <c r="AN141" s="153"/>
      <c r="AO141" s="153"/>
      <c r="AP141" s="162"/>
    </row>
    <row r="142" spans="1:42" s="13" customFormat="1" ht="225" customHeight="1" x14ac:dyDescent="0.45">
      <c r="A142" s="73" t="s">
        <v>287</v>
      </c>
      <c r="B142" s="73" t="s">
        <v>92</v>
      </c>
      <c r="C142" s="74" t="s">
        <v>55</v>
      </c>
      <c r="D142" s="74" t="s">
        <v>20</v>
      </c>
      <c r="E142" s="74" t="s">
        <v>20</v>
      </c>
      <c r="F142" s="74" t="s">
        <v>20</v>
      </c>
      <c r="G142" s="74"/>
      <c r="H142" s="121" t="s">
        <v>160</v>
      </c>
      <c r="I142" s="73" t="s">
        <v>45</v>
      </c>
      <c r="J142" s="194"/>
      <c r="K142" s="277" t="s">
        <v>204</v>
      </c>
      <c r="L142" s="311">
        <v>43165</v>
      </c>
      <c r="M142" s="311">
        <v>43172</v>
      </c>
      <c r="N142" s="311" t="s">
        <v>247</v>
      </c>
      <c r="O142" s="194"/>
      <c r="P142" s="276"/>
      <c r="Q142" s="194"/>
      <c r="R142" s="141">
        <v>1</v>
      </c>
      <c r="S142" s="237">
        <f>AF142</f>
        <v>1439925.94</v>
      </c>
      <c r="T142" s="141"/>
      <c r="U142" s="237"/>
      <c r="V142" s="285"/>
      <c r="W142" s="73" t="s">
        <v>21</v>
      </c>
      <c r="X142" s="73" t="s">
        <v>21</v>
      </c>
      <c r="Y142" s="152" t="s">
        <v>20</v>
      </c>
      <c r="Z142" s="153" t="s">
        <v>20</v>
      </c>
      <c r="AA142" s="153"/>
      <c r="AB142" s="76">
        <v>1439925.94</v>
      </c>
      <c r="AC142" s="330"/>
      <c r="AD142" s="330"/>
      <c r="AE142" s="330"/>
      <c r="AF142" s="76">
        <f>SUM(AG142:AO142)</f>
        <v>1439925.94</v>
      </c>
      <c r="AG142" s="153">
        <v>1439925.94</v>
      </c>
      <c r="AH142" s="75"/>
      <c r="AI142" s="75"/>
      <c r="AJ142" s="75"/>
      <c r="AK142" s="75"/>
      <c r="AL142" s="75"/>
      <c r="AM142" s="153"/>
      <c r="AN142" s="153"/>
      <c r="AO142" s="153"/>
      <c r="AP142" s="162"/>
    </row>
    <row r="143" spans="1:42" s="13" customFormat="1" ht="225" customHeight="1" x14ac:dyDescent="0.45">
      <c r="A143" s="73" t="s">
        <v>288</v>
      </c>
      <c r="B143" s="73" t="s">
        <v>92</v>
      </c>
      <c r="C143" s="74" t="s">
        <v>75</v>
      </c>
      <c r="D143" s="74" t="s">
        <v>20</v>
      </c>
      <c r="E143" s="74" t="s">
        <v>20</v>
      </c>
      <c r="F143" s="74" t="s">
        <v>20</v>
      </c>
      <c r="G143" s="74"/>
      <c r="H143" s="121" t="s">
        <v>224</v>
      </c>
      <c r="I143" s="73" t="s">
        <v>45</v>
      </c>
      <c r="J143" s="194"/>
      <c r="K143" s="291" t="s">
        <v>248</v>
      </c>
      <c r="L143" s="312">
        <v>43165</v>
      </c>
      <c r="M143" s="312">
        <v>43172</v>
      </c>
      <c r="N143" s="312" t="s">
        <v>247</v>
      </c>
      <c r="O143" s="194"/>
      <c r="P143" s="276"/>
      <c r="Q143" s="194"/>
      <c r="R143" s="141">
        <v>1</v>
      </c>
      <c r="S143" s="237">
        <f>AF143</f>
        <v>10500000</v>
      </c>
      <c r="T143" s="141"/>
      <c r="U143" s="237"/>
      <c r="V143" s="285"/>
      <c r="W143" s="73" t="s">
        <v>21</v>
      </c>
      <c r="X143" s="73" t="s">
        <v>21</v>
      </c>
      <c r="Y143" s="152" t="s">
        <v>20</v>
      </c>
      <c r="Z143" s="153" t="s">
        <v>20</v>
      </c>
      <c r="AA143" s="153" t="s">
        <v>20</v>
      </c>
      <c r="AB143" s="76">
        <v>10500000</v>
      </c>
      <c r="AC143" s="330"/>
      <c r="AD143" s="330"/>
      <c r="AE143" s="330"/>
      <c r="AF143" s="76">
        <f>SUM(AG143:AO143)</f>
        <v>10500000</v>
      </c>
      <c r="AG143" s="153">
        <v>10500000</v>
      </c>
      <c r="AH143" s="75"/>
      <c r="AI143" s="75"/>
      <c r="AJ143" s="75"/>
      <c r="AK143" s="75"/>
      <c r="AL143" s="75"/>
      <c r="AM143" s="153"/>
      <c r="AN143" s="153"/>
      <c r="AO143" s="153"/>
      <c r="AP143" s="162"/>
    </row>
    <row r="144" spans="1:42" s="13" customFormat="1" ht="63" customHeight="1" x14ac:dyDescent="0.55000000000000004">
      <c r="A144" s="14"/>
      <c r="B144" s="14"/>
      <c r="C144" s="14"/>
      <c r="D144" s="14"/>
      <c r="E144" s="14"/>
      <c r="F144" s="14"/>
      <c r="G144" s="14"/>
      <c r="I144" s="15"/>
      <c r="K144" s="288"/>
      <c r="L144" s="299"/>
      <c r="M144" s="299"/>
      <c r="N144" s="299"/>
      <c r="O144" s="288"/>
      <c r="P144" s="315">
        <f>SUM(P139:P143)</f>
        <v>0</v>
      </c>
      <c r="Q144" s="202"/>
      <c r="R144" s="151">
        <f>SUM(R139:R143)</f>
        <v>5</v>
      </c>
      <c r="S144" s="238">
        <f t="shared" ref="S144" si="82">SUM(S139:S143)</f>
        <v>15000000</v>
      </c>
      <c r="T144" s="151">
        <f>SUM(T139:T143)</f>
        <v>0</v>
      </c>
      <c r="U144" s="238">
        <f t="shared" ref="U144" si="83">SUM(U139:U143)</f>
        <v>0</v>
      </c>
      <c r="V144" s="207"/>
      <c r="W144" s="201"/>
      <c r="X144" s="15"/>
      <c r="Y144" s="14"/>
      <c r="Z144" s="15"/>
      <c r="AA144" s="15"/>
      <c r="AB144" s="238">
        <f t="shared" ref="AB144:AE144" si="84">SUM(AB139:AB143)</f>
        <v>15000000</v>
      </c>
      <c r="AC144" s="238">
        <f t="shared" si="84"/>
        <v>0</v>
      </c>
      <c r="AD144" s="238">
        <f t="shared" si="84"/>
        <v>0</v>
      </c>
      <c r="AE144" s="238">
        <f t="shared" si="84"/>
        <v>0</v>
      </c>
      <c r="AF144" s="238">
        <f>SUM(AF139:AF143)</f>
        <v>15000000</v>
      </c>
      <c r="AG144" s="238">
        <f t="shared" ref="AG144:AO144" si="85">SUM(AG139:AG143)</f>
        <v>15000000</v>
      </c>
      <c r="AH144" s="238">
        <f t="shared" si="85"/>
        <v>0</v>
      </c>
      <c r="AI144" s="238">
        <f t="shared" si="85"/>
        <v>0</v>
      </c>
      <c r="AJ144" s="238">
        <f t="shared" si="85"/>
        <v>0</v>
      </c>
      <c r="AK144" s="238">
        <f t="shared" si="85"/>
        <v>0</v>
      </c>
      <c r="AL144" s="238">
        <f t="shared" si="85"/>
        <v>0</v>
      </c>
      <c r="AM144" s="238">
        <f t="shared" si="85"/>
        <v>0</v>
      </c>
      <c r="AN144" s="238">
        <f t="shared" si="85"/>
        <v>0</v>
      </c>
      <c r="AO144" s="238">
        <f t="shared" si="85"/>
        <v>0</v>
      </c>
      <c r="AP144" s="294">
        <f>SUM(AP139:AP143)</f>
        <v>0</v>
      </c>
    </row>
    <row r="145" spans="1:42" s="96" customFormat="1" ht="24" customHeight="1" x14ac:dyDescent="0.55000000000000004">
      <c r="A145" s="90"/>
      <c r="B145" s="91"/>
      <c r="C145" s="91"/>
      <c r="D145" s="91"/>
      <c r="E145" s="91"/>
      <c r="F145" s="91"/>
      <c r="G145" s="91"/>
      <c r="H145" s="28"/>
      <c r="I145" s="15"/>
      <c r="J145" s="13"/>
      <c r="K145" s="288"/>
      <c r="L145" s="299"/>
      <c r="M145" s="299"/>
      <c r="N145" s="299"/>
      <c r="O145" s="196"/>
      <c r="P145" s="211"/>
      <c r="Q145" s="196"/>
      <c r="R145" s="211"/>
      <c r="S145" s="91"/>
      <c r="T145" s="211"/>
      <c r="U145" s="91"/>
      <c r="V145" s="143"/>
      <c r="W145" s="92"/>
      <c r="X145" s="92"/>
      <c r="Y145" s="94"/>
      <c r="Z145" s="91"/>
      <c r="AA145" s="91"/>
      <c r="AB145" s="91"/>
      <c r="AC145" s="331"/>
      <c r="AD145" s="331"/>
      <c r="AE145" s="33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120"/>
    </row>
    <row r="146" spans="1:42" s="22" customFormat="1" ht="67.5" customHeight="1" x14ac:dyDescent="0.55000000000000004">
      <c r="A146" s="27"/>
      <c r="B146" s="27"/>
      <c r="C146" s="27"/>
      <c r="D146" s="27"/>
      <c r="E146" s="27"/>
      <c r="F146" s="27"/>
      <c r="G146" s="27"/>
      <c r="H146" s="13"/>
      <c r="I146" s="15"/>
      <c r="J146" s="13"/>
      <c r="K146" s="288"/>
      <c r="L146" s="299"/>
      <c r="M146" s="299"/>
      <c r="N146" s="299"/>
      <c r="O146" s="202"/>
      <c r="P146" s="167">
        <f>P144</f>
        <v>0</v>
      </c>
      <c r="Q146" s="202"/>
      <c r="R146" s="167">
        <f>R144</f>
        <v>5</v>
      </c>
      <c r="S146" s="133">
        <f t="shared" ref="S146" si="86">S144</f>
        <v>15000000</v>
      </c>
      <c r="T146" s="167">
        <f>T144</f>
        <v>0</v>
      </c>
      <c r="U146" s="133">
        <f t="shared" ref="U146" si="87">U144</f>
        <v>0</v>
      </c>
      <c r="V146" s="196"/>
      <c r="W146" s="337" t="s">
        <v>22</v>
      </c>
      <c r="X146" s="338"/>
      <c r="Y146" s="338"/>
      <c r="Z146" s="338"/>
      <c r="AA146" s="183"/>
      <c r="AB146" s="133">
        <f t="shared" ref="AB146:AE146" si="88">AB144</f>
        <v>15000000</v>
      </c>
      <c r="AC146" s="133">
        <f t="shared" si="88"/>
        <v>0</v>
      </c>
      <c r="AD146" s="133">
        <f t="shared" si="88"/>
        <v>0</v>
      </c>
      <c r="AE146" s="133">
        <f t="shared" si="88"/>
        <v>0</v>
      </c>
      <c r="AF146" s="133">
        <f>AF144</f>
        <v>15000000</v>
      </c>
      <c r="AG146" s="133">
        <f t="shared" ref="AG146:AO146" si="89">AG144</f>
        <v>15000000</v>
      </c>
      <c r="AH146" s="133">
        <f t="shared" si="89"/>
        <v>0</v>
      </c>
      <c r="AI146" s="133">
        <f t="shared" si="89"/>
        <v>0</v>
      </c>
      <c r="AJ146" s="133">
        <f t="shared" si="89"/>
        <v>0</v>
      </c>
      <c r="AK146" s="133">
        <f t="shared" si="89"/>
        <v>0</v>
      </c>
      <c r="AL146" s="133">
        <f t="shared" si="89"/>
        <v>0</v>
      </c>
      <c r="AM146" s="133">
        <f t="shared" si="89"/>
        <v>0</v>
      </c>
      <c r="AN146" s="133">
        <f t="shared" si="89"/>
        <v>0</v>
      </c>
      <c r="AO146" s="133">
        <f t="shared" si="89"/>
        <v>0</v>
      </c>
      <c r="AP146" s="295">
        <f t="shared" ref="AP146" si="90">AP144</f>
        <v>0</v>
      </c>
    </row>
    <row r="147" spans="1:42" s="13" customFormat="1" ht="27" customHeight="1" x14ac:dyDescent="0.55000000000000004">
      <c r="A147" s="16"/>
      <c r="B147" s="17"/>
      <c r="C147" s="17"/>
      <c r="D147" s="17"/>
      <c r="E147" s="17"/>
      <c r="F147" s="17"/>
      <c r="G147" s="17"/>
      <c r="H147" s="18"/>
      <c r="I147" s="19"/>
      <c r="J147" s="195"/>
      <c r="K147" s="195"/>
      <c r="L147" s="300"/>
      <c r="M147" s="300"/>
      <c r="N147" s="300"/>
      <c r="O147" s="195"/>
      <c r="P147" s="142"/>
      <c r="Q147" s="195"/>
      <c r="R147" s="142"/>
      <c r="S147" s="239"/>
      <c r="T147" s="142"/>
      <c r="U147" s="239"/>
      <c r="V147" s="195"/>
      <c r="W147" s="18"/>
      <c r="X147" s="18"/>
      <c r="Y147" s="63"/>
      <c r="Z147" s="22"/>
      <c r="AA147" s="22"/>
      <c r="AB147" s="20"/>
      <c r="AC147" s="20"/>
      <c r="AD147" s="20"/>
      <c r="AE147" s="20"/>
      <c r="AF147" s="20"/>
      <c r="AG147" s="20"/>
      <c r="AH147" s="20"/>
      <c r="AI147" s="20"/>
      <c r="AJ147" s="20"/>
      <c r="AK147" s="22"/>
      <c r="AL147" s="22"/>
      <c r="AM147" s="22"/>
      <c r="AN147" s="20"/>
      <c r="AO147" s="20"/>
      <c r="AP147" s="32"/>
    </row>
    <row r="148" spans="1:42" s="96" customFormat="1" x14ac:dyDescent="0.55000000000000004">
      <c r="A148" s="16"/>
      <c r="B148" s="17"/>
      <c r="C148" s="17"/>
      <c r="D148" s="17"/>
      <c r="E148" s="17"/>
      <c r="F148" s="17"/>
      <c r="G148" s="17"/>
      <c r="H148" s="18"/>
      <c r="I148" s="19"/>
      <c r="J148" s="195"/>
      <c r="K148" s="195"/>
      <c r="L148" s="300"/>
      <c r="M148" s="300"/>
      <c r="N148" s="300"/>
      <c r="O148" s="195"/>
      <c r="P148" s="142"/>
      <c r="Q148" s="195"/>
      <c r="R148" s="142"/>
      <c r="S148" s="239"/>
      <c r="T148" s="142"/>
      <c r="U148" s="239"/>
      <c r="V148" s="195"/>
      <c r="W148" s="23"/>
      <c r="X148" s="18"/>
      <c r="Y148" s="114"/>
      <c r="Z148" s="92"/>
      <c r="AA148" s="92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4"/>
      <c r="AN148" s="103"/>
      <c r="AO148" s="20"/>
      <c r="AP148" s="32"/>
    </row>
    <row r="149" spans="1:42" s="85" customFormat="1" ht="43.5" hidden="1" customHeight="1" x14ac:dyDescent="0.2">
      <c r="A149" s="85" t="s">
        <v>41</v>
      </c>
      <c r="B149" s="86"/>
      <c r="C149" s="86"/>
      <c r="D149" s="86"/>
      <c r="E149" s="86"/>
      <c r="F149" s="86"/>
      <c r="G149" s="86"/>
      <c r="H149" s="86"/>
      <c r="J149" s="145"/>
      <c r="K149" s="321"/>
      <c r="L149" s="320"/>
      <c r="M149" s="320"/>
      <c r="N149" s="320"/>
      <c r="O149" s="145"/>
      <c r="P149" s="145"/>
      <c r="Q149" s="145"/>
      <c r="R149" s="145"/>
      <c r="S149" s="241"/>
      <c r="T149" s="145"/>
      <c r="U149" s="241"/>
      <c r="V149" s="145"/>
      <c r="Y149" s="87"/>
      <c r="Z149" s="87"/>
      <c r="AA149" s="87"/>
      <c r="AB149" s="87"/>
      <c r="AC149" s="333"/>
      <c r="AD149" s="333"/>
      <c r="AE149" s="333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</row>
    <row r="150" spans="1:42" s="106" customFormat="1" ht="43.5" hidden="1" customHeight="1" x14ac:dyDescent="0.2">
      <c r="A150" s="104" t="s">
        <v>40</v>
      </c>
      <c r="B150" s="105"/>
      <c r="C150" s="105"/>
      <c r="D150" s="105"/>
      <c r="E150" s="105"/>
      <c r="F150" s="105"/>
      <c r="G150" s="105"/>
      <c r="H150" s="105"/>
      <c r="J150" s="139"/>
      <c r="K150" s="143"/>
      <c r="L150" s="303"/>
      <c r="M150" s="303"/>
      <c r="N150" s="303"/>
      <c r="O150" s="139"/>
      <c r="P150" s="139"/>
      <c r="Q150" s="139"/>
      <c r="R150" s="139"/>
      <c r="S150" s="235"/>
      <c r="T150" s="139"/>
      <c r="U150" s="235"/>
      <c r="V150" s="139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</row>
    <row r="151" spans="1:42" s="13" customFormat="1" ht="42" hidden="1" customHeight="1" x14ac:dyDescent="0.45">
      <c r="A151" s="73"/>
      <c r="B151" s="73"/>
      <c r="C151" s="74"/>
      <c r="D151" s="74"/>
      <c r="E151" s="74"/>
      <c r="F151" s="74"/>
      <c r="G151" s="74"/>
      <c r="H151" s="230"/>
      <c r="I151" s="231"/>
      <c r="J151" s="194"/>
      <c r="K151" s="194"/>
      <c r="L151" s="302"/>
      <c r="M151" s="302"/>
      <c r="N151" s="302"/>
      <c r="O151" s="194"/>
      <c r="P151" s="141"/>
      <c r="Q151" s="194"/>
      <c r="R151" s="141"/>
      <c r="S151" s="237"/>
      <c r="T151" s="141"/>
      <c r="U151" s="237"/>
      <c r="V151" s="194"/>
      <c r="W151" s="73"/>
      <c r="X151" s="73"/>
      <c r="Y151" s="152"/>
      <c r="Z151" s="153"/>
      <c r="AA151" s="153"/>
      <c r="AB151" s="76"/>
      <c r="AC151" s="330"/>
      <c r="AD151" s="330"/>
      <c r="AE151" s="330"/>
      <c r="AF151" s="76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62"/>
    </row>
    <row r="152" spans="1:42" s="13" customFormat="1" ht="42" hidden="1" customHeight="1" x14ac:dyDescent="0.45">
      <c r="A152" s="73"/>
      <c r="B152" s="73"/>
      <c r="C152" s="74"/>
      <c r="D152" s="74"/>
      <c r="E152" s="74"/>
      <c r="F152" s="74"/>
      <c r="G152" s="74"/>
      <c r="H152" s="230"/>
      <c r="I152" s="231"/>
      <c r="J152" s="194"/>
      <c r="K152" s="194"/>
      <c r="L152" s="302"/>
      <c r="M152" s="302"/>
      <c r="N152" s="302"/>
      <c r="O152" s="194"/>
      <c r="P152" s="141"/>
      <c r="Q152" s="194"/>
      <c r="R152" s="141"/>
      <c r="S152" s="237"/>
      <c r="T152" s="141"/>
      <c r="U152" s="237"/>
      <c r="V152" s="194"/>
      <c r="W152" s="73"/>
      <c r="X152" s="73"/>
      <c r="Y152" s="152"/>
      <c r="Z152" s="153"/>
      <c r="AA152" s="153"/>
      <c r="AB152" s="76"/>
      <c r="AC152" s="330"/>
      <c r="AD152" s="330"/>
      <c r="AE152" s="330"/>
      <c r="AF152" s="76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62"/>
    </row>
    <row r="153" spans="1:42" s="13" customFormat="1" ht="42" hidden="1" customHeight="1" x14ac:dyDescent="0.45">
      <c r="A153" s="73"/>
      <c r="B153" s="73"/>
      <c r="C153" s="74"/>
      <c r="D153" s="74"/>
      <c r="E153" s="74"/>
      <c r="F153" s="74"/>
      <c r="G153" s="74"/>
      <c r="H153" s="230"/>
      <c r="I153" s="231"/>
      <c r="J153" s="194"/>
      <c r="K153" s="194"/>
      <c r="L153" s="302"/>
      <c r="M153" s="302"/>
      <c r="N153" s="302"/>
      <c r="O153" s="194"/>
      <c r="P153" s="141"/>
      <c r="Q153" s="194"/>
      <c r="R153" s="141"/>
      <c r="S153" s="237"/>
      <c r="T153" s="141"/>
      <c r="U153" s="237"/>
      <c r="V153" s="194"/>
      <c r="W153" s="73"/>
      <c r="X153" s="73"/>
      <c r="Y153" s="152"/>
      <c r="Z153" s="153"/>
      <c r="AA153" s="153"/>
      <c r="AB153" s="76"/>
      <c r="AC153" s="330"/>
      <c r="AD153" s="330"/>
      <c r="AE153" s="330"/>
      <c r="AF153" s="76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62"/>
    </row>
    <row r="154" spans="1:42" s="13" customFormat="1" ht="42" hidden="1" customHeight="1" x14ac:dyDescent="0.45">
      <c r="A154" s="73"/>
      <c r="B154" s="73"/>
      <c r="C154" s="74"/>
      <c r="D154" s="74"/>
      <c r="E154" s="74"/>
      <c r="F154" s="74"/>
      <c r="G154" s="74"/>
      <c r="H154" s="230"/>
      <c r="I154" s="231"/>
      <c r="J154" s="194"/>
      <c r="K154" s="194"/>
      <c r="L154" s="302"/>
      <c r="M154" s="302"/>
      <c r="N154" s="302"/>
      <c r="O154" s="194"/>
      <c r="P154" s="141"/>
      <c r="Q154" s="194"/>
      <c r="R154" s="141"/>
      <c r="S154" s="237"/>
      <c r="T154" s="141"/>
      <c r="U154" s="237"/>
      <c r="V154" s="194"/>
      <c r="W154" s="73"/>
      <c r="X154" s="73"/>
      <c r="Y154" s="152"/>
      <c r="Z154" s="153"/>
      <c r="AA154" s="153"/>
      <c r="AB154" s="76"/>
      <c r="AC154" s="330"/>
      <c r="AD154" s="330"/>
      <c r="AE154" s="330"/>
      <c r="AF154" s="76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62"/>
    </row>
    <row r="155" spans="1:42" s="13" customFormat="1" ht="42" hidden="1" customHeight="1" x14ac:dyDescent="0.45">
      <c r="A155" s="73"/>
      <c r="B155" s="73"/>
      <c r="C155" s="74"/>
      <c r="D155" s="74"/>
      <c r="E155" s="74"/>
      <c r="F155" s="74"/>
      <c r="G155" s="74"/>
      <c r="H155" s="230"/>
      <c r="I155" s="231"/>
      <c r="J155" s="194"/>
      <c r="K155" s="194"/>
      <c r="L155" s="302"/>
      <c r="M155" s="302"/>
      <c r="N155" s="302"/>
      <c r="O155" s="194"/>
      <c r="P155" s="141"/>
      <c r="Q155" s="194"/>
      <c r="R155" s="141"/>
      <c r="S155" s="237"/>
      <c r="T155" s="141"/>
      <c r="U155" s="237"/>
      <c r="V155" s="194"/>
      <c r="W155" s="73"/>
      <c r="X155" s="73"/>
      <c r="Y155" s="152"/>
      <c r="Z155" s="153"/>
      <c r="AA155" s="153"/>
      <c r="AB155" s="76"/>
      <c r="AC155" s="330"/>
      <c r="AD155" s="330"/>
      <c r="AE155" s="330"/>
      <c r="AF155" s="76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62"/>
    </row>
    <row r="156" spans="1:42" s="13" customFormat="1" ht="42" hidden="1" customHeight="1" x14ac:dyDescent="0.45">
      <c r="A156" s="73"/>
      <c r="B156" s="73"/>
      <c r="C156" s="74"/>
      <c r="D156" s="74"/>
      <c r="E156" s="74"/>
      <c r="F156" s="74"/>
      <c r="G156" s="74"/>
      <c r="H156" s="230"/>
      <c r="I156" s="231"/>
      <c r="J156" s="194"/>
      <c r="K156" s="194"/>
      <c r="L156" s="302"/>
      <c r="M156" s="302"/>
      <c r="N156" s="302"/>
      <c r="O156" s="194"/>
      <c r="P156" s="141"/>
      <c r="Q156" s="194"/>
      <c r="R156" s="141"/>
      <c r="S156" s="237"/>
      <c r="T156" s="141"/>
      <c r="U156" s="237"/>
      <c r="V156" s="194"/>
      <c r="W156" s="73"/>
      <c r="X156" s="73"/>
      <c r="Y156" s="152"/>
      <c r="Z156" s="153"/>
      <c r="AA156" s="153"/>
      <c r="AB156" s="76"/>
      <c r="AC156" s="330"/>
      <c r="AD156" s="330"/>
      <c r="AE156" s="330"/>
      <c r="AF156" s="76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62"/>
    </row>
    <row r="157" spans="1:42" s="13" customFormat="1" ht="42" hidden="1" customHeight="1" x14ac:dyDescent="0.45">
      <c r="A157" s="73"/>
      <c r="B157" s="73"/>
      <c r="C157" s="74"/>
      <c r="D157" s="74"/>
      <c r="E157" s="74"/>
      <c r="F157" s="74"/>
      <c r="G157" s="74"/>
      <c r="H157" s="230"/>
      <c r="I157" s="231"/>
      <c r="J157" s="194"/>
      <c r="K157" s="194"/>
      <c r="L157" s="302"/>
      <c r="M157" s="302"/>
      <c r="N157" s="302"/>
      <c r="O157" s="194"/>
      <c r="P157" s="141"/>
      <c r="Q157" s="194"/>
      <c r="R157" s="141"/>
      <c r="S157" s="237"/>
      <c r="T157" s="141"/>
      <c r="U157" s="237"/>
      <c r="V157" s="194"/>
      <c r="W157" s="73"/>
      <c r="X157" s="73"/>
      <c r="Y157" s="152"/>
      <c r="Z157" s="153"/>
      <c r="AA157" s="153"/>
      <c r="AB157" s="76"/>
      <c r="AC157" s="330"/>
      <c r="AD157" s="330"/>
      <c r="AE157" s="330"/>
      <c r="AF157" s="76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62"/>
    </row>
    <row r="158" spans="1:42" s="13" customFormat="1" ht="42" hidden="1" customHeight="1" x14ac:dyDescent="0.45">
      <c r="A158" s="73"/>
      <c r="B158" s="73"/>
      <c r="C158" s="74"/>
      <c r="D158" s="74"/>
      <c r="E158" s="74"/>
      <c r="F158" s="74"/>
      <c r="G158" s="74"/>
      <c r="H158" s="230"/>
      <c r="I158" s="231"/>
      <c r="J158" s="194"/>
      <c r="K158" s="194"/>
      <c r="L158" s="302"/>
      <c r="M158" s="302"/>
      <c r="N158" s="302"/>
      <c r="O158" s="194"/>
      <c r="P158" s="141"/>
      <c r="Q158" s="194"/>
      <c r="R158" s="141"/>
      <c r="S158" s="237"/>
      <c r="T158" s="141"/>
      <c r="U158" s="237"/>
      <c r="V158" s="194"/>
      <c r="W158" s="73"/>
      <c r="X158" s="73"/>
      <c r="Y158" s="152"/>
      <c r="Z158" s="153"/>
      <c r="AA158" s="153"/>
      <c r="AB158" s="76"/>
      <c r="AC158" s="330"/>
      <c r="AD158" s="330"/>
      <c r="AE158" s="330"/>
      <c r="AF158" s="76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62"/>
    </row>
    <row r="159" spans="1:42" s="13" customFormat="1" ht="63" hidden="1" customHeight="1" x14ac:dyDescent="0.55000000000000004">
      <c r="A159" s="14"/>
      <c r="B159" s="14"/>
      <c r="C159" s="14"/>
      <c r="D159" s="14"/>
      <c r="E159" s="14"/>
      <c r="F159" s="14"/>
      <c r="G159" s="14"/>
      <c r="I159" s="15"/>
      <c r="J159" s="202"/>
      <c r="K159" s="288"/>
      <c r="L159" s="299"/>
      <c r="M159" s="299"/>
      <c r="N159" s="299"/>
      <c r="O159" s="202"/>
      <c r="P159" s="182"/>
      <c r="Q159" s="202"/>
      <c r="R159" s="151">
        <f>SUM(R151:R158)</f>
        <v>0</v>
      </c>
      <c r="S159" s="238">
        <f t="shared" ref="S159:U159" si="91">SUM(S151:S158)</f>
        <v>0</v>
      </c>
      <c r="T159" s="151">
        <f>SUM(T151:T158)</f>
        <v>0</v>
      </c>
      <c r="U159" s="238">
        <f t="shared" si="91"/>
        <v>0</v>
      </c>
      <c r="V159" s="207"/>
      <c r="W159" s="201"/>
      <c r="X159" s="201"/>
      <c r="Y159" s="208"/>
      <c r="Z159" s="201"/>
      <c r="AA159" s="15"/>
      <c r="AB159" s="89">
        <f t="shared" ref="AB159:AP159" si="92">SUM(AB151:AB158)</f>
        <v>0</v>
      </c>
      <c r="AC159" s="238"/>
      <c r="AD159" s="238"/>
      <c r="AE159" s="238"/>
      <c r="AF159" s="89"/>
      <c r="AG159" s="89">
        <f t="shared" si="92"/>
        <v>0</v>
      </c>
      <c r="AH159" s="89">
        <f t="shared" si="92"/>
        <v>0</v>
      </c>
      <c r="AI159" s="89">
        <f t="shared" si="92"/>
        <v>0</v>
      </c>
      <c r="AJ159" s="89">
        <f t="shared" si="92"/>
        <v>0</v>
      </c>
      <c r="AK159" s="89">
        <f t="shared" si="92"/>
        <v>0</v>
      </c>
      <c r="AL159" s="89">
        <f t="shared" si="92"/>
        <v>0</v>
      </c>
      <c r="AM159" s="89">
        <f t="shared" si="92"/>
        <v>0</v>
      </c>
      <c r="AN159" s="89">
        <f t="shared" si="92"/>
        <v>0</v>
      </c>
      <c r="AO159" s="89">
        <f t="shared" si="92"/>
        <v>0</v>
      </c>
      <c r="AP159" s="163">
        <f t="shared" si="92"/>
        <v>0</v>
      </c>
    </row>
    <row r="160" spans="1:42" s="96" customFormat="1" ht="24" hidden="1" customHeight="1" x14ac:dyDescent="0.55000000000000004">
      <c r="A160" s="90"/>
      <c r="B160" s="91"/>
      <c r="C160" s="91"/>
      <c r="D160" s="91"/>
      <c r="E160" s="91"/>
      <c r="F160" s="91"/>
      <c r="G160" s="91"/>
      <c r="H160" s="18"/>
      <c r="I160" s="171"/>
      <c r="J160" s="195"/>
      <c r="K160" s="143"/>
      <c r="L160" s="303"/>
      <c r="M160" s="303"/>
      <c r="N160" s="303"/>
      <c r="O160" s="195"/>
      <c r="P160" s="209"/>
      <c r="Q160" s="195"/>
      <c r="R160" s="211"/>
      <c r="S160" s="240"/>
      <c r="T160" s="211"/>
      <c r="U160" s="240"/>
      <c r="V160" s="143"/>
      <c r="W160" s="92"/>
      <c r="X160" s="92"/>
      <c r="Y160" s="94"/>
      <c r="Z160" s="91"/>
      <c r="AA160" s="91"/>
      <c r="AB160" s="91"/>
      <c r="AC160" s="331"/>
      <c r="AD160" s="331"/>
      <c r="AE160" s="331"/>
      <c r="AF160" s="91"/>
      <c r="AG160" s="91"/>
      <c r="AH160" s="91"/>
      <c r="AI160" s="91"/>
      <c r="AJ160" s="91"/>
      <c r="AK160" s="91"/>
      <c r="AL160" s="91"/>
      <c r="AM160" s="91"/>
      <c r="AN160" s="91"/>
      <c r="AO160" s="91"/>
      <c r="AP160" s="91"/>
    </row>
    <row r="161" spans="1:42" s="22" customFormat="1" ht="67.5" hidden="1" customHeight="1" x14ac:dyDescent="0.55000000000000004">
      <c r="A161" s="27"/>
      <c r="B161" s="27"/>
      <c r="C161" s="27"/>
      <c r="D161" s="27"/>
      <c r="E161" s="27"/>
      <c r="F161" s="27"/>
      <c r="G161" s="27"/>
      <c r="H161" s="28"/>
      <c r="I161" s="196"/>
      <c r="J161" s="196"/>
      <c r="K161" s="196"/>
      <c r="L161" s="301"/>
      <c r="M161" s="301"/>
      <c r="N161" s="301"/>
      <c r="O161" s="196"/>
      <c r="P161" s="196"/>
      <c r="Q161" s="196"/>
      <c r="R161" s="167">
        <f>R159</f>
        <v>0</v>
      </c>
      <c r="S161" s="133">
        <f t="shared" ref="S161:U161" si="93">S159</f>
        <v>0</v>
      </c>
      <c r="T161" s="167">
        <f>T159</f>
        <v>0</v>
      </c>
      <c r="U161" s="133">
        <f t="shared" si="93"/>
        <v>0</v>
      </c>
      <c r="V161" s="196"/>
      <c r="W161" s="337" t="s">
        <v>22</v>
      </c>
      <c r="X161" s="338"/>
      <c r="Y161" s="338"/>
      <c r="Z161" s="338"/>
      <c r="AA161" s="183"/>
      <c r="AB161" s="133">
        <f t="shared" ref="AB161:AP161" si="94">AB159</f>
        <v>0</v>
      </c>
      <c r="AC161" s="133"/>
      <c r="AD161" s="133"/>
      <c r="AE161" s="133"/>
      <c r="AF161" s="133"/>
      <c r="AG161" s="133">
        <f t="shared" si="94"/>
        <v>0</v>
      </c>
      <c r="AH161" s="133">
        <f t="shared" si="94"/>
        <v>0</v>
      </c>
      <c r="AI161" s="133">
        <f t="shared" si="94"/>
        <v>0</v>
      </c>
      <c r="AJ161" s="133">
        <f t="shared" si="94"/>
        <v>0</v>
      </c>
      <c r="AK161" s="133">
        <f t="shared" si="94"/>
        <v>0</v>
      </c>
      <c r="AL161" s="133">
        <f t="shared" si="94"/>
        <v>0</v>
      </c>
      <c r="AM161" s="133">
        <f t="shared" si="94"/>
        <v>0</v>
      </c>
      <c r="AN161" s="133">
        <f t="shared" si="94"/>
        <v>0</v>
      </c>
      <c r="AO161" s="133">
        <f t="shared" si="94"/>
        <v>0</v>
      </c>
      <c r="AP161" s="162">
        <f t="shared" si="94"/>
        <v>0</v>
      </c>
    </row>
    <row r="162" spans="1:42" s="13" customFormat="1" ht="27" hidden="1" customHeight="1" x14ac:dyDescent="0.55000000000000004">
      <c r="A162" s="16"/>
      <c r="B162" s="17"/>
      <c r="C162" s="17"/>
      <c r="D162" s="17"/>
      <c r="E162" s="17"/>
      <c r="F162" s="17"/>
      <c r="G162" s="17"/>
      <c r="H162" s="18"/>
      <c r="I162" s="19"/>
      <c r="J162" s="195"/>
      <c r="K162" s="195"/>
      <c r="L162" s="300"/>
      <c r="M162" s="300"/>
      <c r="N162" s="300"/>
      <c r="O162" s="195"/>
      <c r="P162" s="142"/>
      <c r="Q162" s="195"/>
      <c r="R162" s="142"/>
      <c r="S162" s="239"/>
      <c r="T162" s="142"/>
      <c r="U162" s="239"/>
      <c r="V162" s="195"/>
      <c r="W162" s="18"/>
      <c r="X162" s="18"/>
      <c r="Y162" s="63"/>
      <c r="Z162" s="22"/>
      <c r="AA162" s="22"/>
      <c r="AB162" s="20"/>
      <c r="AC162" s="20"/>
      <c r="AD162" s="20"/>
      <c r="AE162" s="20"/>
      <c r="AF162" s="20"/>
      <c r="AG162" s="20"/>
      <c r="AH162" s="20"/>
      <c r="AI162" s="20"/>
      <c r="AJ162" s="20"/>
      <c r="AK162" s="22"/>
      <c r="AL162" s="22"/>
      <c r="AM162" s="22"/>
      <c r="AN162" s="20"/>
      <c r="AO162" s="20"/>
      <c r="AP162" s="32"/>
    </row>
    <row r="163" spans="1:42" s="96" customFormat="1" ht="42" hidden="1" customHeight="1" x14ac:dyDescent="0.55000000000000004">
      <c r="A163" s="16"/>
      <c r="B163" s="17"/>
      <c r="C163" s="17"/>
      <c r="D163" s="17"/>
      <c r="E163" s="17"/>
      <c r="F163" s="17"/>
      <c r="G163" s="17"/>
      <c r="H163" s="18"/>
      <c r="I163" s="19"/>
      <c r="J163" s="195"/>
      <c r="K163" s="195"/>
      <c r="L163" s="300"/>
      <c r="M163" s="300"/>
      <c r="N163" s="300"/>
      <c r="O163" s="195"/>
      <c r="P163" s="142"/>
      <c r="Q163" s="195"/>
      <c r="R163" s="142"/>
      <c r="S163" s="239"/>
      <c r="T163" s="142"/>
      <c r="U163" s="239"/>
      <c r="V163" s="195"/>
      <c r="W163" s="23"/>
      <c r="X163" s="18"/>
      <c r="Y163" s="114"/>
      <c r="Z163" s="92"/>
      <c r="AA163" s="92"/>
      <c r="AB163" s="20">
        <f>'[4]Seguimiento POPyAS 2017'!$L$103</f>
        <v>2970890.7800000003</v>
      </c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4"/>
      <c r="AN163" s="103"/>
      <c r="AO163" s="20"/>
      <c r="AP163" s="32"/>
    </row>
    <row r="164" spans="1:42" s="85" customFormat="1" ht="43.5" customHeight="1" x14ac:dyDescent="0.2">
      <c r="A164" s="85" t="s">
        <v>261</v>
      </c>
      <c r="B164" s="86"/>
      <c r="C164" s="86"/>
      <c r="D164" s="86"/>
      <c r="E164" s="86"/>
      <c r="F164" s="86"/>
      <c r="G164" s="86"/>
      <c r="H164" s="86"/>
      <c r="J164" s="145"/>
      <c r="K164" s="321"/>
      <c r="L164" s="320"/>
      <c r="M164" s="320"/>
      <c r="N164" s="320"/>
      <c r="O164" s="145"/>
      <c r="P164" s="145"/>
      <c r="Q164" s="145"/>
      <c r="R164" s="145"/>
      <c r="S164" s="241"/>
      <c r="T164" s="145"/>
      <c r="U164" s="241"/>
      <c r="V164" s="145"/>
      <c r="Y164" s="87"/>
      <c r="Z164" s="87"/>
      <c r="AA164" s="87"/>
      <c r="AB164" s="87"/>
      <c r="AC164" s="333"/>
      <c r="AD164" s="333"/>
      <c r="AE164" s="333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</row>
    <row r="165" spans="1:42" s="13" customFormat="1" ht="339.75" customHeight="1" x14ac:dyDescent="0.45">
      <c r="A165" s="73" t="s">
        <v>289</v>
      </c>
      <c r="B165" s="73"/>
      <c r="C165" s="74"/>
      <c r="D165" s="74" t="s">
        <v>20</v>
      </c>
      <c r="E165" s="74" t="s">
        <v>20</v>
      </c>
      <c r="F165" s="74" t="s">
        <v>20</v>
      </c>
      <c r="G165" s="74"/>
      <c r="H165" s="121" t="s">
        <v>47</v>
      </c>
      <c r="I165" s="73" t="s">
        <v>42</v>
      </c>
      <c r="J165" s="194"/>
      <c r="K165" s="141" t="s">
        <v>200</v>
      </c>
      <c r="L165" s="309" t="s">
        <v>20</v>
      </c>
      <c r="M165" s="309" t="s">
        <v>20</v>
      </c>
      <c r="N165" s="309" t="s">
        <v>20</v>
      </c>
      <c r="O165" s="194"/>
      <c r="P165" s="141"/>
      <c r="Q165" s="194"/>
      <c r="R165" s="210">
        <f>1/2</f>
        <v>0.5</v>
      </c>
      <c r="S165" s="237">
        <f>AF165/2</f>
        <v>0</v>
      </c>
      <c r="T165" s="210">
        <f>1/2</f>
        <v>0.5</v>
      </c>
      <c r="U165" s="237">
        <f>AF165/2</f>
        <v>0</v>
      </c>
      <c r="V165" s="285"/>
      <c r="W165" s="152" t="s">
        <v>21</v>
      </c>
      <c r="X165" s="152" t="s">
        <v>21</v>
      </c>
      <c r="Y165" s="152" t="s">
        <v>20</v>
      </c>
      <c r="Z165" s="153" t="s">
        <v>20</v>
      </c>
      <c r="AA165" s="153" t="s">
        <v>20</v>
      </c>
      <c r="AB165" s="76">
        <v>706697.78</v>
      </c>
      <c r="AC165" s="330">
        <f>AB165</f>
        <v>706697.78</v>
      </c>
      <c r="AD165" s="330"/>
      <c r="AE165" s="330"/>
      <c r="AF165" s="76">
        <f>SUM(AG165:AO165)</f>
        <v>0</v>
      </c>
      <c r="AG165" s="153"/>
      <c r="AH165" s="75"/>
      <c r="AI165" s="75"/>
      <c r="AJ165" s="75"/>
      <c r="AK165" s="153">
        <f>706697.78-706697.78</f>
        <v>0</v>
      </c>
      <c r="AL165" s="75"/>
      <c r="AM165" s="153"/>
      <c r="AN165" s="153"/>
      <c r="AO165" s="153"/>
      <c r="AP165" s="162"/>
    </row>
    <row r="166" spans="1:42" s="13" customFormat="1" ht="63" customHeight="1" x14ac:dyDescent="0.55000000000000004">
      <c r="A166" s="14"/>
      <c r="B166" s="14"/>
      <c r="C166" s="14"/>
      <c r="D166" s="14"/>
      <c r="E166" s="14"/>
      <c r="F166" s="14"/>
      <c r="G166" s="14"/>
      <c r="I166" s="15"/>
      <c r="K166" s="288"/>
      <c r="L166" s="299"/>
      <c r="M166" s="299"/>
      <c r="N166" s="299"/>
      <c r="O166" s="288"/>
      <c r="P166" s="315">
        <f>SUM(P165:P165)</f>
        <v>0</v>
      </c>
      <c r="Q166" s="202"/>
      <c r="R166" s="151">
        <f>SUM(R165:R165)</f>
        <v>0.5</v>
      </c>
      <c r="S166" s="238">
        <f>SUM(S165:S165)</f>
        <v>0</v>
      </c>
      <c r="T166" s="151">
        <f>SUM(T165:T165)</f>
        <v>0.5</v>
      </c>
      <c r="U166" s="238">
        <f>SUM(U165:U165)</f>
        <v>0</v>
      </c>
      <c r="V166" s="207"/>
      <c r="W166" s="201"/>
      <c r="X166" s="201"/>
      <c r="Y166" s="208"/>
      <c r="Z166" s="201"/>
      <c r="AA166" s="15"/>
      <c r="AB166" s="89">
        <f t="shared" ref="AB166:AE166" si="95">SUM(AB165:AB165)</f>
        <v>706697.78</v>
      </c>
      <c r="AC166" s="238">
        <f t="shared" si="95"/>
        <v>706697.78</v>
      </c>
      <c r="AD166" s="238">
        <f t="shared" si="95"/>
        <v>0</v>
      </c>
      <c r="AE166" s="238">
        <f t="shared" si="95"/>
        <v>0</v>
      </c>
      <c r="AF166" s="89">
        <f>SUM(AF165:AF165)</f>
        <v>0</v>
      </c>
      <c r="AG166" s="89">
        <f t="shared" ref="AG166:AI166" si="96">SUM(AG165:AG165)</f>
        <v>0</v>
      </c>
      <c r="AH166" s="89">
        <f t="shared" si="96"/>
        <v>0</v>
      </c>
      <c r="AI166" s="89">
        <f t="shared" si="96"/>
        <v>0</v>
      </c>
      <c r="AJ166" s="89">
        <f t="shared" ref="AJ166:AP166" si="97">SUM(AJ165:AJ165)</f>
        <v>0</v>
      </c>
      <c r="AK166" s="89">
        <f t="shared" si="97"/>
        <v>0</v>
      </c>
      <c r="AL166" s="89">
        <f t="shared" si="97"/>
        <v>0</v>
      </c>
      <c r="AM166" s="89">
        <f t="shared" si="97"/>
        <v>0</v>
      </c>
      <c r="AN166" s="89">
        <f t="shared" si="97"/>
        <v>0</v>
      </c>
      <c r="AO166" s="89">
        <f t="shared" si="97"/>
        <v>0</v>
      </c>
      <c r="AP166" s="294">
        <f t="shared" si="97"/>
        <v>0</v>
      </c>
    </row>
    <row r="167" spans="1:42" s="96" customFormat="1" ht="24" customHeight="1" x14ac:dyDescent="0.55000000000000004">
      <c r="A167" s="90"/>
      <c r="B167" s="91"/>
      <c r="C167" s="91"/>
      <c r="D167" s="91"/>
      <c r="E167" s="91"/>
      <c r="F167" s="91"/>
      <c r="G167" s="91"/>
      <c r="H167" s="18"/>
      <c r="I167" s="171"/>
      <c r="J167" s="195"/>
      <c r="K167" s="143"/>
      <c r="L167" s="303"/>
      <c r="M167" s="303"/>
      <c r="N167" s="303"/>
      <c r="O167" s="195"/>
      <c r="P167" s="264"/>
      <c r="Q167" s="195"/>
      <c r="R167" s="264"/>
      <c r="S167" s="240"/>
      <c r="T167" s="264"/>
      <c r="U167" s="240"/>
      <c r="V167" s="143"/>
      <c r="W167" s="92"/>
      <c r="X167" s="92"/>
      <c r="Y167" s="94"/>
      <c r="Z167" s="91"/>
      <c r="AA167" s="91"/>
      <c r="AB167" s="91"/>
      <c r="AC167" s="331"/>
      <c r="AD167" s="331"/>
      <c r="AE167" s="33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120"/>
    </row>
    <row r="168" spans="1:42" s="22" customFormat="1" ht="67.5" customHeight="1" x14ac:dyDescent="0.55000000000000004">
      <c r="A168" s="27"/>
      <c r="B168" s="27"/>
      <c r="C168" s="27"/>
      <c r="D168" s="27"/>
      <c r="E168" s="27"/>
      <c r="F168" s="27"/>
      <c r="G168" s="27"/>
      <c r="H168" s="28"/>
      <c r="I168" s="196"/>
      <c r="J168" s="196"/>
      <c r="K168" s="196"/>
      <c r="L168" s="301"/>
      <c r="M168" s="301"/>
      <c r="N168" s="301"/>
      <c r="O168" s="196"/>
      <c r="P168" s="167">
        <f>P166</f>
        <v>0</v>
      </c>
      <c r="Q168" s="196"/>
      <c r="R168" s="166">
        <f>R166</f>
        <v>0.5</v>
      </c>
      <c r="S168" s="133">
        <f t="shared" ref="S168:U168" si="98">S166</f>
        <v>0</v>
      </c>
      <c r="T168" s="166">
        <f>T166</f>
        <v>0.5</v>
      </c>
      <c r="U168" s="133">
        <f t="shared" si="98"/>
        <v>0</v>
      </c>
      <c r="V168" s="196"/>
      <c r="W168" s="337" t="s">
        <v>22</v>
      </c>
      <c r="X168" s="338"/>
      <c r="Y168" s="338"/>
      <c r="Z168" s="338"/>
      <c r="AA168" s="183"/>
      <c r="AB168" s="133">
        <f t="shared" ref="AB168:AE168" si="99">AB166</f>
        <v>706697.78</v>
      </c>
      <c r="AC168" s="133">
        <f t="shared" si="99"/>
        <v>706697.78</v>
      </c>
      <c r="AD168" s="133">
        <f t="shared" si="99"/>
        <v>0</v>
      </c>
      <c r="AE168" s="133">
        <f t="shared" si="99"/>
        <v>0</v>
      </c>
      <c r="AF168" s="133">
        <f>AF166</f>
        <v>0</v>
      </c>
      <c r="AG168" s="133">
        <f t="shared" ref="AG168:AI168" si="100">AG166</f>
        <v>0</v>
      </c>
      <c r="AH168" s="133">
        <f t="shared" si="100"/>
        <v>0</v>
      </c>
      <c r="AI168" s="133">
        <f t="shared" si="100"/>
        <v>0</v>
      </c>
      <c r="AJ168" s="133">
        <f t="shared" ref="AJ168:AP168" si="101">AJ166</f>
        <v>0</v>
      </c>
      <c r="AK168" s="133">
        <f t="shared" si="101"/>
        <v>0</v>
      </c>
      <c r="AL168" s="133">
        <f t="shared" si="101"/>
        <v>0</v>
      </c>
      <c r="AM168" s="133">
        <f t="shared" si="101"/>
        <v>0</v>
      </c>
      <c r="AN168" s="133">
        <f t="shared" si="101"/>
        <v>0</v>
      </c>
      <c r="AO168" s="133">
        <f t="shared" si="101"/>
        <v>0</v>
      </c>
      <c r="AP168" s="295">
        <f t="shared" si="101"/>
        <v>0</v>
      </c>
    </row>
    <row r="169" spans="1:42" s="13" customFormat="1" ht="27" customHeight="1" x14ac:dyDescent="0.55000000000000004">
      <c r="A169" s="16"/>
      <c r="B169" s="17"/>
      <c r="C169" s="17"/>
      <c r="D169" s="17"/>
      <c r="E169" s="17"/>
      <c r="F169" s="17"/>
      <c r="G169" s="17"/>
      <c r="H169" s="18"/>
      <c r="I169" s="19"/>
      <c r="J169" s="195"/>
      <c r="K169" s="195"/>
      <c r="L169" s="300"/>
      <c r="M169" s="300"/>
      <c r="N169" s="300"/>
      <c r="O169" s="195"/>
      <c r="P169" s="142"/>
      <c r="Q169" s="195"/>
      <c r="R169" s="142"/>
      <c r="S169" s="239"/>
      <c r="T169" s="142"/>
      <c r="U169" s="239"/>
      <c r="V169" s="195"/>
      <c r="W169" s="18"/>
      <c r="X169" s="18"/>
      <c r="Y169" s="63"/>
      <c r="Z169" s="22"/>
      <c r="AA169" s="22"/>
      <c r="AB169" s="20"/>
      <c r="AC169" s="20"/>
      <c r="AD169" s="20"/>
      <c r="AE169" s="20"/>
      <c r="AF169" s="20"/>
      <c r="AG169" s="20"/>
      <c r="AH169" s="20"/>
      <c r="AI169" s="20"/>
      <c r="AJ169" s="20"/>
      <c r="AK169" s="22"/>
      <c r="AL169" s="22"/>
      <c r="AM169" s="22"/>
      <c r="AN169" s="20"/>
      <c r="AO169" s="20"/>
      <c r="AP169" s="32"/>
    </row>
    <row r="170" spans="1:42" s="96" customFormat="1" x14ac:dyDescent="0.55000000000000004">
      <c r="A170" s="16"/>
      <c r="B170" s="17"/>
      <c r="C170" s="17"/>
      <c r="D170" s="17"/>
      <c r="E170" s="17"/>
      <c r="F170" s="17"/>
      <c r="G170" s="17"/>
      <c r="H170" s="18"/>
      <c r="I170" s="19"/>
      <c r="J170" s="195"/>
      <c r="K170" s="195"/>
      <c r="L170" s="300"/>
      <c r="M170" s="300"/>
      <c r="N170" s="300"/>
      <c r="O170" s="195"/>
      <c r="P170" s="142"/>
      <c r="Q170" s="195"/>
      <c r="R170" s="142"/>
      <c r="S170" s="239"/>
      <c r="T170" s="142"/>
      <c r="U170" s="239"/>
      <c r="V170" s="195"/>
      <c r="W170" s="23"/>
      <c r="X170" s="18"/>
      <c r="Y170" s="114"/>
      <c r="Z170" s="92"/>
      <c r="AA170" s="92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4"/>
      <c r="AN170" s="103"/>
      <c r="AO170" s="20"/>
      <c r="AP170" s="32"/>
    </row>
    <row r="171" spans="1:42" s="106" customFormat="1" ht="43.5" customHeight="1" x14ac:dyDescent="0.2">
      <c r="A171" s="85" t="s">
        <v>83</v>
      </c>
      <c r="B171" s="105"/>
      <c r="C171" s="105"/>
      <c r="D171" s="105"/>
      <c r="E171" s="105"/>
      <c r="F171" s="105"/>
      <c r="G171" s="105"/>
      <c r="H171" s="105"/>
      <c r="J171" s="139"/>
      <c r="K171" s="143"/>
      <c r="L171" s="303"/>
      <c r="M171" s="303"/>
      <c r="N171" s="303"/>
      <c r="O171" s="139"/>
      <c r="P171" s="139"/>
      <c r="Q171" s="139"/>
      <c r="R171" s="139"/>
      <c r="S171" s="235"/>
      <c r="T171" s="139"/>
      <c r="U171" s="235"/>
      <c r="V171" s="139"/>
      <c r="Y171" s="111"/>
      <c r="Z171" s="60"/>
      <c r="AA171" s="60"/>
      <c r="AB171" s="60"/>
      <c r="AC171" s="107"/>
      <c r="AD171" s="107"/>
      <c r="AE171" s="107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</row>
    <row r="172" spans="1:42" s="99" customFormat="1" ht="43.5" customHeight="1" x14ac:dyDescent="0.2">
      <c r="A172" s="97" t="s">
        <v>40</v>
      </c>
      <c r="B172" s="98"/>
      <c r="C172" s="98"/>
      <c r="D172" s="98"/>
      <c r="E172" s="98"/>
      <c r="F172" s="98"/>
      <c r="G172" s="98"/>
      <c r="H172" s="98"/>
      <c r="J172" s="140"/>
      <c r="K172" s="317"/>
      <c r="L172" s="318"/>
      <c r="M172" s="318"/>
      <c r="N172" s="318"/>
      <c r="O172" s="140"/>
      <c r="P172" s="140"/>
      <c r="Q172" s="140"/>
      <c r="R172" s="140"/>
      <c r="S172" s="236"/>
      <c r="T172" s="140"/>
      <c r="U172" s="236"/>
      <c r="V172" s="140"/>
      <c r="Y172" s="112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</row>
    <row r="173" spans="1:42" s="13" customFormat="1" ht="308.25" customHeight="1" x14ac:dyDescent="0.45">
      <c r="A173" s="73" t="s">
        <v>367</v>
      </c>
      <c r="B173" s="73" t="s">
        <v>205</v>
      </c>
      <c r="C173" s="74" t="s">
        <v>55</v>
      </c>
      <c r="D173" s="74" t="s">
        <v>20</v>
      </c>
      <c r="E173" s="74" t="s">
        <v>20</v>
      </c>
      <c r="F173" s="74" t="s">
        <v>20</v>
      </c>
      <c r="G173" s="74"/>
      <c r="H173" s="121" t="s">
        <v>373</v>
      </c>
      <c r="I173" s="73" t="s">
        <v>374</v>
      </c>
      <c r="J173" s="194"/>
      <c r="K173" s="141" t="s">
        <v>48</v>
      </c>
      <c r="L173" s="309">
        <v>43165</v>
      </c>
      <c r="M173" s="309">
        <v>43168</v>
      </c>
      <c r="N173" s="309" t="s">
        <v>250</v>
      </c>
      <c r="O173" s="194"/>
      <c r="P173" s="141">
        <v>21</v>
      </c>
      <c r="Q173" s="194"/>
      <c r="R173" s="141"/>
      <c r="S173" s="237"/>
      <c r="T173" s="141">
        <v>1</v>
      </c>
      <c r="U173" s="237">
        <f>AF173</f>
        <v>700000</v>
      </c>
      <c r="V173" s="282"/>
      <c r="W173" s="73" t="s">
        <v>383</v>
      </c>
      <c r="X173" s="73" t="s">
        <v>383</v>
      </c>
      <c r="Y173" s="74" t="s">
        <v>20</v>
      </c>
      <c r="Z173" s="153" t="s">
        <v>20</v>
      </c>
      <c r="AA173" s="153" t="s">
        <v>20</v>
      </c>
      <c r="AB173" s="76">
        <v>0</v>
      </c>
      <c r="AC173" s="330"/>
      <c r="AD173" s="330">
        <v>30000</v>
      </c>
      <c r="AE173" s="330">
        <v>670000</v>
      </c>
      <c r="AF173" s="76">
        <f t="shared" ref="AF173:AF178" si="102">SUM(AG173:AO173)</f>
        <v>700000</v>
      </c>
      <c r="AG173" s="153">
        <f>250000+30000</f>
        <v>280000</v>
      </c>
      <c r="AH173" s="153">
        <v>250000</v>
      </c>
      <c r="AI173" s="153"/>
      <c r="AJ173" s="153"/>
      <c r="AK173" s="153">
        <v>150000</v>
      </c>
      <c r="AL173" s="75"/>
      <c r="AM173" s="75"/>
      <c r="AN173" s="75"/>
      <c r="AO173" s="75">
        <v>20000</v>
      </c>
      <c r="AP173" s="32"/>
    </row>
    <row r="174" spans="1:42" s="13" customFormat="1" ht="308.25" customHeight="1" x14ac:dyDescent="0.45">
      <c r="A174" s="73" t="s">
        <v>368</v>
      </c>
      <c r="B174" s="73" t="s">
        <v>205</v>
      </c>
      <c r="C174" s="74" t="s">
        <v>55</v>
      </c>
      <c r="D174" s="74" t="s">
        <v>20</v>
      </c>
      <c r="E174" s="74" t="s">
        <v>20</v>
      </c>
      <c r="F174" s="74" t="s">
        <v>20</v>
      </c>
      <c r="G174" s="74"/>
      <c r="H174" s="121" t="s">
        <v>375</v>
      </c>
      <c r="I174" s="121" t="s">
        <v>45</v>
      </c>
      <c r="J174" s="194"/>
      <c r="K174" s="289" t="s">
        <v>201</v>
      </c>
      <c r="L174" s="308">
        <v>43165</v>
      </c>
      <c r="M174" s="308">
        <v>43168</v>
      </c>
      <c r="N174" s="308" t="s">
        <v>240</v>
      </c>
      <c r="O174" s="194"/>
      <c r="P174" s="273"/>
      <c r="Q174" s="194"/>
      <c r="R174" s="141"/>
      <c r="S174" s="237"/>
      <c r="T174" s="141">
        <v>1</v>
      </c>
      <c r="U174" s="237">
        <f>AF174</f>
        <v>675000</v>
      </c>
      <c r="V174" s="282"/>
      <c r="W174" s="73" t="s">
        <v>383</v>
      </c>
      <c r="X174" s="73" t="s">
        <v>383</v>
      </c>
      <c r="Y174" s="152" t="s">
        <v>20</v>
      </c>
      <c r="Z174" s="153" t="s">
        <v>20</v>
      </c>
      <c r="AA174" s="153" t="s">
        <v>20</v>
      </c>
      <c r="AB174" s="76">
        <v>0</v>
      </c>
      <c r="AC174" s="330"/>
      <c r="AD174" s="330"/>
      <c r="AE174" s="330">
        <v>675000</v>
      </c>
      <c r="AF174" s="76">
        <f t="shared" si="102"/>
        <v>675000</v>
      </c>
      <c r="AG174" s="153">
        <v>250000</v>
      </c>
      <c r="AH174" s="75">
        <v>250000</v>
      </c>
      <c r="AI174" s="75"/>
      <c r="AJ174" s="75"/>
      <c r="AK174" s="75">
        <v>150000</v>
      </c>
      <c r="AL174" s="75"/>
      <c r="AM174" s="153"/>
      <c r="AN174" s="153"/>
      <c r="AO174" s="153">
        <v>25000</v>
      </c>
      <c r="AP174" s="295"/>
    </row>
    <row r="175" spans="1:42" s="13" customFormat="1" ht="137.25" customHeight="1" x14ac:dyDescent="0.45">
      <c r="A175" s="73" t="s">
        <v>369</v>
      </c>
      <c r="B175" s="73" t="s">
        <v>205</v>
      </c>
      <c r="C175" s="74" t="s">
        <v>55</v>
      </c>
      <c r="D175" s="74" t="s">
        <v>20</v>
      </c>
      <c r="E175" s="74" t="s">
        <v>20</v>
      </c>
      <c r="F175" s="74" t="s">
        <v>20</v>
      </c>
      <c r="G175" s="74"/>
      <c r="H175" s="121" t="s">
        <v>376</v>
      </c>
      <c r="I175" s="121" t="s">
        <v>377</v>
      </c>
      <c r="J175" s="194"/>
      <c r="K175" s="141" t="s">
        <v>48</v>
      </c>
      <c r="L175" s="309">
        <v>43165</v>
      </c>
      <c r="M175" s="309">
        <v>43168</v>
      </c>
      <c r="N175" s="309" t="s">
        <v>250</v>
      </c>
      <c r="O175" s="194"/>
      <c r="P175" s="273"/>
      <c r="Q175" s="194"/>
      <c r="R175" s="141">
        <v>1</v>
      </c>
      <c r="S175" s="237">
        <f>AF175</f>
        <v>525000</v>
      </c>
      <c r="T175" s="141"/>
      <c r="U175" s="237"/>
      <c r="V175" s="282"/>
      <c r="W175" s="73" t="s">
        <v>383</v>
      </c>
      <c r="X175" s="73" t="s">
        <v>383</v>
      </c>
      <c r="Y175" s="152" t="s">
        <v>20</v>
      </c>
      <c r="Z175" s="153" t="s">
        <v>20</v>
      </c>
      <c r="AA175" s="153"/>
      <c r="AB175" s="76">
        <v>0</v>
      </c>
      <c r="AC175" s="330"/>
      <c r="AD175" s="330"/>
      <c r="AE175" s="330">
        <v>525000</v>
      </c>
      <c r="AF175" s="76">
        <f t="shared" si="102"/>
        <v>525000</v>
      </c>
      <c r="AG175" s="153">
        <v>200000</v>
      </c>
      <c r="AH175" s="75">
        <v>200000</v>
      </c>
      <c r="AI175" s="75"/>
      <c r="AJ175" s="75"/>
      <c r="AK175" s="75">
        <v>100000</v>
      </c>
      <c r="AL175" s="75"/>
      <c r="AM175" s="153"/>
      <c r="AN175" s="153"/>
      <c r="AO175" s="153">
        <v>25000</v>
      </c>
      <c r="AP175" s="295"/>
    </row>
    <row r="176" spans="1:42" s="13" customFormat="1" ht="137.25" customHeight="1" x14ac:dyDescent="0.45">
      <c r="A176" s="73" t="s">
        <v>370</v>
      </c>
      <c r="B176" s="73" t="s">
        <v>205</v>
      </c>
      <c r="C176" s="74" t="s">
        <v>55</v>
      </c>
      <c r="D176" s="74" t="s">
        <v>20</v>
      </c>
      <c r="E176" s="74" t="s">
        <v>20</v>
      </c>
      <c r="F176" s="74" t="s">
        <v>20</v>
      </c>
      <c r="G176" s="74"/>
      <c r="H176" s="121" t="s">
        <v>378</v>
      </c>
      <c r="I176" s="121" t="s">
        <v>379</v>
      </c>
      <c r="J176" s="194"/>
      <c r="K176" s="141" t="s">
        <v>48</v>
      </c>
      <c r="L176" s="309">
        <v>43165</v>
      </c>
      <c r="M176" s="309">
        <v>43168</v>
      </c>
      <c r="N176" s="309" t="s">
        <v>250</v>
      </c>
      <c r="O176" s="194"/>
      <c r="P176" s="273"/>
      <c r="Q176" s="194"/>
      <c r="R176" s="141"/>
      <c r="S176" s="237"/>
      <c r="T176" s="141">
        <v>1</v>
      </c>
      <c r="U176" s="237">
        <f>AF176</f>
        <v>596929.97</v>
      </c>
      <c r="V176" s="282"/>
      <c r="W176" s="73" t="s">
        <v>383</v>
      </c>
      <c r="X176" s="73" t="s">
        <v>383</v>
      </c>
      <c r="Y176" s="152" t="s">
        <v>20</v>
      </c>
      <c r="Z176" s="153" t="s">
        <v>20</v>
      </c>
      <c r="AA176" s="153"/>
      <c r="AB176" s="76">
        <v>0</v>
      </c>
      <c r="AC176" s="330"/>
      <c r="AD176" s="330"/>
      <c r="AE176" s="330">
        <v>596929.97</v>
      </c>
      <c r="AF176" s="76">
        <f t="shared" si="102"/>
        <v>596929.97</v>
      </c>
      <c r="AG176" s="153">
        <v>225000</v>
      </c>
      <c r="AH176" s="75">
        <v>225000</v>
      </c>
      <c r="AI176" s="75"/>
      <c r="AJ176" s="75"/>
      <c r="AK176" s="75">
        <v>125000</v>
      </c>
      <c r="AL176" s="75"/>
      <c r="AM176" s="153"/>
      <c r="AN176" s="153"/>
      <c r="AO176" s="153">
        <v>21929.97</v>
      </c>
      <c r="AP176" s="295"/>
    </row>
    <row r="177" spans="1:42" s="13" customFormat="1" ht="137.25" customHeight="1" x14ac:dyDescent="0.45">
      <c r="A177" s="73" t="s">
        <v>371</v>
      </c>
      <c r="B177" s="73" t="s">
        <v>205</v>
      </c>
      <c r="C177" s="74" t="s">
        <v>55</v>
      </c>
      <c r="D177" s="74" t="s">
        <v>20</v>
      </c>
      <c r="E177" s="74" t="s">
        <v>20</v>
      </c>
      <c r="F177" s="74" t="s">
        <v>20</v>
      </c>
      <c r="G177" s="74"/>
      <c r="H177" s="121" t="s">
        <v>380</v>
      </c>
      <c r="I177" s="121" t="s">
        <v>381</v>
      </c>
      <c r="J177" s="194"/>
      <c r="K177" s="141" t="s">
        <v>48</v>
      </c>
      <c r="L177" s="309">
        <v>43165</v>
      </c>
      <c r="M177" s="309">
        <v>43168</v>
      </c>
      <c r="N177" s="309" t="s">
        <v>250</v>
      </c>
      <c r="O177" s="194"/>
      <c r="P177" s="273"/>
      <c r="Q177" s="194"/>
      <c r="R177" s="141"/>
      <c r="S177" s="237"/>
      <c r="T177" s="141">
        <v>1</v>
      </c>
      <c r="U177" s="237">
        <f>AF177</f>
        <v>750000</v>
      </c>
      <c r="V177" s="282"/>
      <c r="W177" s="73" t="s">
        <v>383</v>
      </c>
      <c r="X177" s="73" t="s">
        <v>383</v>
      </c>
      <c r="Y177" s="152" t="s">
        <v>20</v>
      </c>
      <c r="Z177" s="153" t="s">
        <v>20</v>
      </c>
      <c r="AA177" s="153" t="s">
        <v>20</v>
      </c>
      <c r="AB177" s="76">
        <v>0</v>
      </c>
      <c r="AC177" s="330"/>
      <c r="AD177" s="330"/>
      <c r="AE177" s="330">
        <v>750000</v>
      </c>
      <c r="AF177" s="76">
        <f t="shared" si="102"/>
        <v>750000</v>
      </c>
      <c r="AG177" s="153">
        <v>280000</v>
      </c>
      <c r="AH177" s="75">
        <v>280000</v>
      </c>
      <c r="AI177" s="75"/>
      <c r="AJ177" s="75"/>
      <c r="AK177" s="75">
        <v>180000</v>
      </c>
      <c r="AL177" s="75"/>
      <c r="AM177" s="153"/>
      <c r="AN177" s="153"/>
      <c r="AO177" s="153">
        <v>10000</v>
      </c>
      <c r="AP177" s="295"/>
    </row>
    <row r="178" spans="1:42" s="13" customFormat="1" ht="137.25" customHeight="1" x14ac:dyDescent="0.45">
      <c r="A178" s="73" t="s">
        <v>372</v>
      </c>
      <c r="B178" s="73"/>
      <c r="C178" s="74"/>
      <c r="D178" s="74" t="s">
        <v>20</v>
      </c>
      <c r="E178" s="74" t="s">
        <v>20</v>
      </c>
      <c r="F178" s="74" t="s">
        <v>20</v>
      </c>
      <c r="G178" s="74"/>
      <c r="H178" s="121" t="s">
        <v>382</v>
      </c>
      <c r="I178" s="121" t="s">
        <v>29</v>
      </c>
      <c r="J178" s="194"/>
      <c r="K178" s="141" t="s">
        <v>48</v>
      </c>
      <c r="L178" s="309">
        <v>43165</v>
      </c>
      <c r="M178" s="309">
        <v>43168</v>
      </c>
      <c r="N178" s="309" t="s">
        <v>250</v>
      </c>
      <c r="O178" s="194"/>
      <c r="P178" s="273"/>
      <c r="Q178" s="194"/>
      <c r="R178" s="141"/>
      <c r="S178" s="237"/>
      <c r="T178" s="141">
        <v>1</v>
      </c>
      <c r="U178" s="237">
        <f>AF178</f>
        <v>1697.7800000000279</v>
      </c>
      <c r="V178" s="282"/>
      <c r="W178" s="73" t="s">
        <v>383</v>
      </c>
      <c r="X178" s="73" t="s">
        <v>383</v>
      </c>
      <c r="Y178" s="152" t="s">
        <v>20</v>
      </c>
      <c r="Z178" s="153" t="s">
        <v>20</v>
      </c>
      <c r="AA178" s="153" t="s">
        <v>20</v>
      </c>
      <c r="AB178" s="76">
        <v>0</v>
      </c>
      <c r="AC178" s="330"/>
      <c r="AD178" s="330"/>
      <c r="AE178" s="330">
        <v>1697.7800000000279</v>
      </c>
      <c r="AF178" s="76">
        <f t="shared" si="102"/>
        <v>1697.7800000000279</v>
      </c>
      <c r="AG178" s="153"/>
      <c r="AH178" s="75"/>
      <c r="AI178" s="75"/>
      <c r="AJ178" s="75"/>
      <c r="AK178" s="75">
        <v>1697.7800000000279</v>
      </c>
      <c r="AL178" s="75"/>
      <c r="AM178" s="153"/>
      <c r="AN178" s="153"/>
      <c r="AO178" s="153"/>
      <c r="AP178" s="295"/>
    </row>
    <row r="179" spans="1:42" s="13" customFormat="1" ht="131.25" customHeight="1" x14ac:dyDescent="0.45">
      <c r="A179" s="73" t="s">
        <v>411</v>
      </c>
      <c r="B179" s="73" t="s">
        <v>205</v>
      </c>
      <c r="C179" s="74" t="s">
        <v>55</v>
      </c>
      <c r="D179" s="74" t="s">
        <v>20</v>
      </c>
      <c r="E179" s="74" t="s">
        <v>20</v>
      </c>
      <c r="F179" s="74" t="s">
        <v>20</v>
      </c>
      <c r="G179" s="74"/>
      <c r="H179" s="121" t="s">
        <v>414</v>
      </c>
      <c r="I179" s="73" t="s">
        <v>45</v>
      </c>
      <c r="J179" s="194"/>
      <c r="K179" s="141" t="s">
        <v>48</v>
      </c>
      <c r="L179" s="309">
        <v>43165</v>
      </c>
      <c r="M179" s="309">
        <v>43168</v>
      </c>
      <c r="N179" s="309" t="s">
        <v>250</v>
      </c>
      <c r="O179" s="194"/>
      <c r="P179" s="141">
        <v>21</v>
      </c>
      <c r="Q179" s="194"/>
      <c r="R179" s="141"/>
      <c r="S179" s="237"/>
      <c r="T179" s="141">
        <v>1</v>
      </c>
      <c r="U179" s="237">
        <f>AF179</f>
        <v>914999.98</v>
      </c>
      <c r="V179" s="282"/>
      <c r="W179" s="73" t="s">
        <v>383</v>
      </c>
      <c r="X179" s="73" t="s">
        <v>383</v>
      </c>
      <c r="Y179" s="74" t="s">
        <v>20</v>
      </c>
      <c r="Z179" s="153" t="s">
        <v>20</v>
      </c>
      <c r="AA179" s="153" t="s">
        <v>20</v>
      </c>
      <c r="AB179" s="76">
        <v>0</v>
      </c>
      <c r="AC179" s="330"/>
      <c r="AD179" s="330"/>
      <c r="AE179" s="330">
        <v>914999.98</v>
      </c>
      <c r="AF179" s="76">
        <f t="shared" ref="AF179:AF181" si="103">SUM(AG179:AO179)</f>
        <v>914999.98</v>
      </c>
      <c r="AG179" s="153">
        <v>300000</v>
      </c>
      <c r="AH179" s="153">
        <v>300000</v>
      </c>
      <c r="AI179" s="153"/>
      <c r="AJ179" s="153"/>
      <c r="AK179" s="153"/>
      <c r="AL179" s="75">
        <v>300000</v>
      </c>
      <c r="AM179" s="75"/>
      <c r="AN179" s="75"/>
      <c r="AO179" s="75">
        <v>14999.98</v>
      </c>
      <c r="AP179" s="32"/>
    </row>
    <row r="180" spans="1:42" s="13" customFormat="1" ht="131.25" customHeight="1" x14ac:dyDescent="0.45">
      <c r="A180" s="73" t="s">
        <v>412</v>
      </c>
      <c r="B180" s="73" t="s">
        <v>205</v>
      </c>
      <c r="C180" s="74" t="s">
        <v>55</v>
      </c>
      <c r="D180" s="74" t="s">
        <v>20</v>
      </c>
      <c r="E180" s="74" t="s">
        <v>20</v>
      </c>
      <c r="F180" s="74" t="s">
        <v>20</v>
      </c>
      <c r="G180" s="74"/>
      <c r="H180" s="121" t="s">
        <v>415</v>
      </c>
      <c r="I180" s="121" t="s">
        <v>45</v>
      </c>
      <c r="J180" s="194"/>
      <c r="K180" s="289" t="s">
        <v>201</v>
      </c>
      <c r="L180" s="308">
        <v>43165</v>
      </c>
      <c r="M180" s="308">
        <v>43168</v>
      </c>
      <c r="N180" s="308" t="s">
        <v>240</v>
      </c>
      <c r="O180" s="194"/>
      <c r="P180" s="273"/>
      <c r="Q180" s="194"/>
      <c r="R180" s="141"/>
      <c r="S180" s="237"/>
      <c r="T180" s="141">
        <v>1</v>
      </c>
      <c r="U180" s="237">
        <f>AF180</f>
        <v>700000</v>
      </c>
      <c r="V180" s="282"/>
      <c r="W180" s="73" t="s">
        <v>383</v>
      </c>
      <c r="X180" s="73" t="s">
        <v>383</v>
      </c>
      <c r="Y180" s="152" t="s">
        <v>20</v>
      </c>
      <c r="Z180" s="153" t="s">
        <v>20</v>
      </c>
      <c r="AA180" s="153" t="s">
        <v>20</v>
      </c>
      <c r="AB180" s="76">
        <v>0</v>
      </c>
      <c r="AC180" s="330"/>
      <c r="AD180" s="330"/>
      <c r="AE180" s="330">
        <v>700000</v>
      </c>
      <c r="AF180" s="76">
        <f t="shared" si="103"/>
        <v>700000</v>
      </c>
      <c r="AG180" s="153">
        <v>200000</v>
      </c>
      <c r="AH180" s="75">
        <v>265000</v>
      </c>
      <c r="AI180" s="75"/>
      <c r="AJ180" s="75"/>
      <c r="AK180" s="75"/>
      <c r="AL180" s="75">
        <v>225000</v>
      </c>
      <c r="AM180" s="153"/>
      <c r="AN180" s="153"/>
      <c r="AO180" s="153">
        <v>10000</v>
      </c>
      <c r="AP180" s="295"/>
    </row>
    <row r="181" spans="1:42" s="13" customFormat="1" ht="131.25" customHeight="1" x14ac:dyDescent="0.45">
      <c r="A181" s="73" t="s">
        <v>413</v>
      </c>
      <c r="B181" s="73" t="s">
        <v>205</v>
      </c>
      <c r="C181" s="74" t="s">
        <v>55</v>
      </c>
      <c r="D181" s="74" t="s">
        <v>20</v>
      </c>
      <c r="E181" s="74" t="s">
        <v>20</v>
      </c>
      <c r="F181" s="74" t="s">
        <v>20</v>
      </c>
      <c r="G181" s="74"/>
      <c r="H181" s="121" t="s">
        <v>416</v>
      </c>
      <c r="I181" s="121" t="s">
        <v>45</v>
      </c>
      <c r="J181" s="194"/>
      <c r="K181" s="141" t="s">
        <v>48</v>
      </c>
      <c r="L181" s="309">
        <v>43165</v>
      </c>
      <c r="M181" s="309">
        <v>43168</v>
      </c>
      <c r="N181" s="309" t="s">
        <v>250</v>
      </c>
      <c r="O181" s="194"/>
      <c r="P181" s="273"/>
      <c r="Q181" s="194"/>
      <c r="R181" s="141">
        <v>1</v>
      </c>
      <c r="S181" s="237">
        <f>AF181</f>
        <v>460000</v>
      </c>
      <c r="T181" s="141"/>
      <c r="U181" s="237"/>
      <c r="V181" s="282"/>
      <c r="W181" s="73" t="s">
        <v>383</v>
      </c>
      <c r="X181" s="73" t="s">
        <v>383</v>
      </c>
      <c r="Y181" s="152" t="s">
        <v>20</v>
      </c>
      <c r="Z181" s="153" t="s">
        <v>20</v>
      </c>
      <c r="AA181" s="153"/>
      <c r="AB181" s="76">
        <v>0</v>
      </c>
      <c r="AC181" s="330"/>
      <c r="AD181" s="330"/>
      <c r="AE181" s="330">
        <v>460000</v>
      </c>
      <c r="AF181" s="76">
        <f t="shared" si="103"/>
        <v>460000</v>
      </c>
      <c r="AG181" s="153">
        <v>150000</v>
      </c>
      <c r="AH181" s="75">
        <v>150000</v>
      </c>
      <c r="AI181" s="75"/>
      <c r="AJ181" s="75"/>
      <c r="AK181" s="75"/>
      <c r="AL181" s="75">
        <v>150000</v>
      </c>
      <c r="AM181" s="153"/>
      <c r="AN181" s="153"/>
      <c r="AO181" s="153">
        <v>10000</v>
      </c>
      <c r="AP181" s="295"/>
    </row>
    <row r="182" spans="1:42" s="13" customFormat="1" ht="63" customHeight="1" x14ac:dyDescent="0.55000000000000004">
      <c r="A182" s="14"/>
      <c r="B182" s="14"/>
      <c r="C182" s="14"/>
      <c r="D182" s="14"/>
      <c r="E182" s="14"/>
      <c r="F182" s="14"/>
      <c r="G182" s="14"/>
      <c r="I182" s="15"/>
      <c r="K182" s="288"/>
      <c r="L182" s="299"/>
      <c r="M182" s="299"/>
      <c r="N182" s="299"/>
      <c r="O182" s="288"/>
      <c r="P182" s="315" t="e">
        <f>SUM(#REF!)</f>
        <v>#REF!</v>
      </c>
      <c r="Q182" s="202"/>
      <c r="R182" s="151" t="e">
        <f>SUM(#REF!)</f>
        <v>#REF!</v>
      </c>
      <c r="S182" s="238" t="e">
        <f>SUM(#REF!)</f>
        <v>#REF!</v>
      </c>
      <c r="T182" s="151" t="e">
        <f>SUM(#REF!)</f>
        <v>#REF!</v>
      </c>
      <c r="U182" s="238" t="e">
        <f>SUM(#REF!)</f>
        <v>#REF!</v>
      </c>
      <c r="V182" s="207"/>
      <c r="W182" s="201"/>
      <c r="X182" s="201"/>
      <c r="Y182" s="208"/>
      <c r="Z182" s="201"/>
      <c r="AA182" s="15"/>
      <c r="AB182" s="89">
        <f t="shared" ref="AB182:AO182" si="104">SUM(AB173:AB178)</f>
        <v>0</v>
      </c>
      <c r="AC182" s="89">
        <f t="shared" si="104"/>
        <v>0</v>
      </c>
      <c r="AD182" s="89">
        <f t="shared" si="104"/>
        <v>30000</v>
      </c>
      <c r="AE182" s="89">
        <f t="shared" si="104"/>
        <v>3218627.75</v>
      </c>
      <c r="AF182" s="89">
        <f t="shared" si="104"/>
        <v>3248627.75</v>
      </c>
      <c r="AG182" s="89">
        <f t="shared" si="104"/>
        <v>1235000</v>
      </c>
      <c r="AH182" s="89">
        <f t="shared" si="104"/>
        <v>1205000</v>
      </c>
      <c r="AI182" s="89">
        <f t="shared" si="104"/>
        <v>0</v>
      </c>
      <c r="AJ182" s="89">
        <f t="shared" si="104"/>
        <v>0</v>
      </c>
      <c r="AK182" s="89">
        <f t="shared" si="104"/>
        <v>706697.78</v>
      </c>
      <c r="AL182" s="89">
        <f t="shared" si="104"/>
        <v>0</v>
      </c>
      <c r="AM182" s="89">
        <f t="shared" si="104"/>
        <v>0</v>
      </c>
      <c r="AN182" s="89">
        <f t="shared" si="104"/>
        <v>0</v>
      </c>
      <c r="AO182" s="89">
        <f t="shared" si="104"/>
        <v>101929.97</v>
      </c>
      <c r="AP182" s="294" t="e">
        <f>SUM(#REF!)</f>
        <v>#REF!</v>
      </c>
    </row>
    <row r="183" spans="1:42" s="96" customFormat="1" ht="24" customHeight="1" x14ac:dyDescent="0.55000000000000004">
      <c r="A183" s="90"/>
      <c r="B183" s="91"/>
      <c r="C183" s="91"/>
      <c r="D183" s="91"/>
      <c r="E183" s="91"/>
      <c r="F183" s="91"/>
      <c r="G183" s="91"/>
      <c r="H183" s="18"/>
      <c r="I183" s="171"/>
      <c r="J183" s="195"/>
      <c r="K183" s="143"/>
      <c r="L183" s="303"/>
      <c r="M183" s="303"/>
      <c r="N183" s="303"/>
      <c r="O183" s="195"/>
      <c r="P183" s="264"/>
      <c r="Q183" s="195"/>
      <c r="R183" s="264"/>
      <c r="S183" s="240"/>
      <c r="T183" s="264"/>
      <c r="U183" s="240"/>
      <c r="V183" s="143"/>
      <c r="W183" s="92"/>
      <c r="X183" s="92"/>
      <c r="Y183" s="94"/>
      <c r="Z183" s="91"/>
      <c r="AA183" s="91"/>
      <c r="AB183" s="91"/>
      <c r="AC183" s="331"/>
      <c r="AD183" s="331"/>
      <c r="AE183" s="331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120"/>
    </row>
    <row r="184" spans="1:42" s="22" customFormat="1" ht="67.5" customHeight="1" x14ac:dyDescent="0.55000000000000004">
      <c r="A184" s="27"/>
      <c r="B184" s="27"/>
      <c r="C184" s="27"/>
      <c r="D184" s="27"/>
      <c r="E184" s="27"/>
      <c r="F184" s="27"/>
      <c r="G184" s="27"/>
      <c r="H184" s="28"/>
      <c r="I184" s="196"/>
      <c r="J184" s="196"/>
      <c r="K184" s="196"/>
      <c r="L184" s="301"/>
      <c r="M184" s="301"/>
      <c r="N184" s="301"/>
      <c r="O184" s="196"/>
      <c r="P184" s="167" t="e">
        <f>P182</f>
        <v>#REF!</v>
      </c>
      <c r="Q184" s="196"/>
      <c r="R184" s="166" t="e">
        <f>R182</f>
        <v>#REF!</v>
      </c>
      <c r="S184" s="133" t="e">
        <f t="shared" ref="S184" si="105">S182</f>
        <v>#REF!</v>
      </c>
      <c r="T184" s="166" t="e">
        <f>T182</f>
        <v>#REF!</v>
      </c>
      <c r="U184" s="133" t="e">
        <f t="shared" ref="U184" si="106">U182</f>
        <v>#REF!</v>
      </c>
      <c r="V184" s="196"/>
      <c r="W184" s="337" t="s">
        <v>22</v>
      </c>
      <c r="X184" s="338"/>
      <c r="Y184" s="338"/>
      <c r="Z184" s="338"/>
      <c r="AA184" s="183"/>
      <c r="AB184" s="133">
        <f t="shared" ref="AB184:AE184" si="107">AB182</f>
        <v>0</v>
      </c>
      <c r="AC184" s="133">
        <f t="shared" si="107"/>
        <v>0</v>
      </c>
      <c r="AD184" s="133">
        <f t="shared" si="107"/>
        <v>30000</v>
      </c>
      <c r="AE184" s="133">
        <f t="shared" si="107"/>
        <v>3218627.75</v>
      </c>
      <c r="AF184" s="133">
        <f>AF182</f>
        <v>3248627.75</v>
      </c>
      <c r="AG184" s="133">
        <f t="shared" ref="AG184:AP184" si="108">AG182</f>
        <v>1235000</v>
      </c>
      <c r="AH184" s="133">
        <f t="shared" si="108"/>
        <v>1205000</v>
      </c>
      <c r="AI184" s="133">
        <f t="shared" si="108"/>
        <v>0</v>
      </c>
      <c r="AJ184" s="133">
        <f t="shared" si="108"/>
        <v>0</v>
      </c>
      <c r="AK184" s="133">
        <f t="shared" si="108"/>
        <v>706697.78</v>
      </c>
      <c r="AL184" s="133">
        <f t="shared" si="108"/>
        <v>0</v>
      </c>
      <c r="AM184" s="133">
        <f t="shared" si="108"/>
        <v>0</v>
      </c>
      <c r="AN184" s="133">
        <f t="shared" si="108"/>
        <v>0</v>
      </c>
      <c r="AO184" s="133">
        <f t="shared" si="108"/>
        <v>101929.97</v>
      </c>
      <c r="AP184" s="295" t="e">
        <f t="shared" si="108"/>
        <v>#REF!</v>
      </c>
    </row>
    <row r="185" spans="1:42" s="13" customFormat="1" ht="27" customHeight="1" x14ac:dyDescent="0.55000000000000004">
      <c r="A185" s="16"/>
      <c r="B185" s="17"/>
      <c r="C185" s="17"/>
      <c r="D185" s="17"/>
      <c r="E185" s="17"/>
      <c r="F185" s="17"/>
      <c r="G185" s="17"/>
      <c r="H185" s="18"/>
      <c r="I185" s="19"/>
      <c r="J185" s="195"/>
      <c r="K185" s="195"/>
      <c r="L185" s="300"/>
      <c r="M185" s="300"/>
      <c r="N185" s="300"/>
      <c r="O185" s="195"/>
      <c r="P185" s="142"/>
      <c r="Q185" s="195"/>
      <c r="R185" s="142"/>
      <c r="S185" s="239"/>
      <c r="T185" s="142"/>
      <c r="U185" s="239"/>
      <c r="V185" s="195"/>
      <c r="W185" s="18"/>
      <c r="X185" s="18"/>
      <c r="Y185" s="63"/>
      <c r="Z185" s="22"/>
      <c r="AA185" s="22"/>
      <c r="AB185" s="20"/>
      <c r="AC185" s="20"/>
      <c r="AD185" s="20"/>
      <c r="AE185" s="20"/>
      <c r="AF185" s="20"/>
      <c r="AG185" s="20"/>
      <c r="AH185" s="20"/>
      <c r="AI185" s="20"/>
      <c r="AJ185" s="20"/>
      <c r="AK185" s="22"/>
      <c r="AL185" s="22"/>
      <c r="AM185" s="22"/>
      <c r="AN185" s="20"/>
      <c r="AO185" s="20"/>
      <c r="AP185" s="32"/>
    </row>
    <row r="186" spans="1:42" s="96" customFormat="1" x14ac:dyDescent="0.55000000000000004">
      <c r="A186" s="16"/>
      <c r="B186" s="17"/>
      <c r="C186" s="17"/>
      <c r="D186" s="17"/>
      <c r="E186" s="17"/>
      <c r="F186" s="17"/>
      <c r="G186" s="17"/>
      <c r="H186" s="18"/>
      <c r="I186" s="19"/>
      <c r="J186" s="195"/>
      <c r="K186" s="195"/>
      <c r="L186" s="300"/>
      <c r="M186" s="300"/>
      <c r="N186" s="300"/>
      <c r="O186" s="195"/>
      <c r="P186" s="142"/>
      <c r="Q186" s="195"/>
      <c r="R186" s="142"/>
      <c r="S186" s="239"/>
      <c r="T186" s="142"/>
      <c r="U186" s="239"/>
      <c r="V186" s="195"/>
      <c r="W186" s="23"/>
      <c r="X186" s="18"/>
      <c r="Y186" s="114"/>
      <c r="Z186" s="92"/>
      <c r="AA186" s="92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4"/>
      <c r="AN186" s="103"/>
      <c r="AO186" s="20"/>
      <c r="AP186" s="32"/>
    </row>
    <row r="187" spans="1:42" s="106" customFormat="1" ht="43.5" customHeight="1" x14ac:dyDescent="0.2">
      <c r="A187" s="85" t="s">
        <v>82</v>
      </c>
      <c r="B187" s="105"/>
      <c r="C187" s="105"/>
      <c r="D187" s="105"/>
      <c r="E187" s="105"/>
      <c r="F187" s="105"/>
      <c r="G187" s="105"/>
      <c r="H187" s="105"/>
      <c r="J187" s="139"/>
      <c r="K187" s="143"/>
      <c r="L187" s="303"/>
      <c r="M187" s="303"/>
      <c r="N187" s="303"/>
      <c r="O187" s="139"/>
      <c r="P187" s="139"/>
      <c r="Q187" s="139"/>
      <c r="R187" s="139"/>
      <c r="S187" s="235"/>
      <c r="T187" s="139"/>
      <c r="U187" s="235"/>
      <c r="V187" s="139"/>
      <c r="Y187" s="111"/>
      <c r="Z187" s="60"/>
      <c r="AA187" s="60"/>
      <c r="AB187" s="60"/>
      <c r="AC187" s="107"/>
      <c r="AD187" s="107"/>
      <c r="AE187" s="107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</row>
    <row r="188" spans="1:42" s="13" customFormat="1" ht="315.75" customHeight="1" x14ac:dyDescent="0.45">
      <c r="A188" s="73" t="s">
        <v>290</v>
      </c>
      <c r="B188" s="73" t="s">
        <v>92</v>
      </c>
      <c r="C188" s="74" t="s">
        <v>76</v>
      </c>
      <c r="D188" s="74" t="s">
        <v>20</v>
      </c>
      <c r="E188" s="74" t="s">
        <v>20</v>
      </c>
      <c r="F188" s="74" t="s">
        <v>20</v>
      </c>
      <c r="G188" s="74"/>
      <c r="H188" s="121" t="s">
        <v>97</v>
      </c>
      <c r="I188" s="73" t="s">
        <v>45</v>
      </c>
      <c r="J188" s="194"/>
      <c r="K188" s="277" t="s">
        <v>249</v>
      </c>
      <c r="L188" s="311">
        <v>43165</v>
      </c>
      <c r="M188" s="311">
        <v>43179</v>
      </c>
      <c r="N188" s="311" t="s">
        <v>243</v>
      </c>
      <c r="O188" s="194"/>
      <c r="P188" s="276"/>
      <c r="Q188" s="194"/>
      <c r="R188" s="141">
        <v>1</v>
      </c>
      <c r="S188" s="237">
        <f>AF188</f>
        <v>3328877.95</v>
      </c>
      <c r="T188" s="141"/>
      <c r="U188" s="237"/>
      <c r="V188" s="285"/>
      <c r="W188" s="152" t="s">
        <v>21</v>
      </c>
      <c r="X188" s="152" t="s">
        <v>21</v>
      </c>
      <c r="Y188" s="152" t="s">
        <v>20</v>
      </c>
      <c r="Z188" s="152" t="s">
        <v>20</v>
      </c>
      <c r="AA188" s="153" t="s">
        <v>20</v>
      </c>
      <c r="AB188" s="76">
        <v>3176952.47</v>
      </c>
      <c r="AC188" s="330"/>
      <c r="AD188" s="330">
        <v>151925.47999999998</v>
      </c>
      <c r="AE188" s="330"/>
      <c r="AF188" s="76">
        <f>SUM(AG188:AO188)</f>
        <v>3328877.95</v>
      </c>
      <c r="AG188" s="153">
        <f>3176952.47+151925.48</f>
        <v>3328877.95</v>
      </c>
      <c r="AH188" s="75"/>
      <c r="AI188" s="75"/>
      <c r="AJ188" s="75"/>
      <c r="AK188" s="75"/>
      <c r="AL188" s="75"/>
      <c r="AM188" s="153"/>
      <c r="AN188" s="153"/>
      <c r="AO188" s="153"/>
      <c r="AP188" s="162"/>
    </row>
    <row r="189" spans="1:42" s="13" customFormat="1" ht="63" customHeight="1" x14ac:dyDescent="0.55000000000000004">
      <c r="A189" s="14"/>
      <c r="B189" s="14"/>
      <c r="C189" s="14"/>
      <c r="D189" s="14"/>
      <c r="E189" s="14"/>
      <c r="F189" s="14"/>
      <c r="G189" s="14"/>
      <c r="I189" s="15"/>
      <c r="K189" s="288"/>
      <c r="L189" s="299"/>
      <c r="M189" s="299"/>
      <c r="N189" s="299"/>
      <c r="O189" s="288"/>
      <c r="P189" s="315">
        <f>SUM(P188:P188)</f>
        <v>0</v>
      </c>
      <c r="Q189" s="202"/>
      <c r="R189" s="151">
        <f>SUM(R188:R188)</f>
        <v>1</v>
      </c>
      <c r="S189" s="89">
        <f>SUM(S188:S188)</f>
        <v>3328877.95</v>
      </c>
      <c r="T189" s="151">
        <f>SUM(T188:T188)</f>
        <v>0</v>
      </c>
      <c r="U189" s="89">
        <f>SUM(U188:U188)</f>
        <v>0</v>
      </c>
      <c r="V189" s="207"/>
      <c r="W189" s="201"/>
      <c r="X189" s="201"/>
      <c r="Y189" s="208"/>
      <c r="Z189" s="201"/>
      <c r="AA189" s="15"/>
      <c r="AB189" s="89">
        <f t="shared" ref="AB189:AE189" si="109">SUM(AB188:AB188)</f>
        <v>3176952.47</v>
      </c>
      <c r="AC189" s="238">
        <f t="shared" si="109"/>
        <v>0</v>
      </c>
      <c r="AD189" s="238">
        <f t="shared" si="109"/>
        <v>151925.47999999998</v>
      </c>
      <c r="AE189" s="238">
        <f t="shared" si="109"/>
        <v>0</v>
      </c>
      <c r="AF189" s="89">
        <f>SUM(AF188:AF188)</f>
        <v>3328877.95</v>
      </c>
      <c r="AG189" s="89">
        <f t="shared" ref="AG189:AP189" si="110">SUM(AG188:AG188)</f>
        <v>3328877.95</v>
      </c>
      <c r="AH189" s="89">
        <f t="shared" si="110"/>
        <v>0</v>
      </c>
      <c r="AI189" s="89">
        <f t="shared" si="110"/>
        <v>0</v>
      </c>
      <c r="AJ189" s="89">
        <f t="shared" si="110"/>
        <v>0</v>
      </c>
      <c r="AK189" s="89">
        <f t="shared" si="110"/>
        <v>0</v>
      </c>
      <c r="AL189" s="89">
        <f t="shared" si="110"/>
        <v>0</v>
      </c>
      <c r="AM189" s="89">
        <f t="shared" si="110"/>
        <v>0</v>
      </c>
      <c r="AN189" s="89">
        <f t="shared" si="110"/>
        <v>0</v>
      </c>
      <c r="AO189" s="89">
        <f t="shared" si="110"/>
        <v>0</v>
      </c>
      <c r="AP189" s="294">
        <f t="shared" si="110"/>
        <v>0</v>
      </c>
    </row>
    <row r="190" spans="1:42" s="96" customFormat="1" ht="24" customHeight="1" x14ac:dyDescent="0.55000000000000004">
      <c r="A190" s="90"/>
      <c r="B190" s="91"/>
      <c r="C190" s="91"/>
      <c r="D190" s="91"/>
      <c r="E190" s="91"/>
      <c r="F190" s="91"/>
      <c r="G190" s="91"/>
      <c r="H190" s="18"/>
      <c r="I190" s="171"/>
      <c r="J190" s="195"/>
      <c r="K190" s="143"/>
      <c r="L190" s="303"/>
      <c r="M190" s="303"/>
      <c r="N190" s="303"/>
      <c r="O190" s="195"/>
      <c r="P190" s="211"/>
      <c r="Q190" s="195"/>
      <c r="R190" s="211"/>
      <c r="S190" s="93"/>
      <c r="T190" s="211"/>
      <c r="U190" s="93"/>
      <c r="V190" s="143"/>
      <c r="W190" s="92"/>
      <c r="X190" s="92"/>
      <c r="Y190" s="94"/>
      <c r="Z190" s="91"/>
      <c r="AA190" s="92"/>
      <c r="AB190" s="93"/>
      <c r="AC190" s="332"/>
      <c r="AD190" s="332"/>
      <c r="AE190" s="332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120"/>
    </row>
    <row r="191" spans="1:42" s="22" customFormat="1" ht="67.5" customHeight="1" x14ac:dyDescent="0.55000000000000004">
      <c r="A191" s="27"/>
      <c r="B191" s="27"/>
      <c r="C191" s="27"/>
      <c r="D191" s="27"/>
      <c r="E191" s="27"/>
      <c r="F191" s="27"/>
      <c r="G191" s="27"/>
      <c r="H191" s="28"/>
      <c r="I191" s="196"/>
      <c r="J191" s="196"/>
      <c r="K191" s="196"/>
      <c r="L191" s="301"/>
      <c r="M191" s="301"/>
      <c r="N191" s="301"/>
      <c r="O191" s="196"/>
      <c r="P191" s="167">
        <f>P189</f>
        <v>0</v>
      </c>
      <c r="Q191" s="196"/>
      <c r="R191" s="167">
        <f>R189</f>
        <v>1</v>
      </c>
      <c r="S191" s="133">
        <f t="shared" ref="S191" si="111">S189</f>
        <v>3328877.95</v>
      </c>
      <c r="T191" s="167">
        <f>T189</f>
        <v>0</v>
      </c>
      <c r="U191" s="133">
        <f t="shared" ref="U191" si="112">U189</f>
        <v>0</v>
      </c>
      <c r="V191" s="196"/>
      <c r="W191" s="337" t="s">
        <v>22</v>
      </c>
      <c r="X191" s="338"/>
      <c r="Y191" s="338"/>
      <c r="Z191" s="338"/>
      <c r="AA191" s="183"/>
      <c r="AB191" s="133">
        <f t="shared" ref="AB191:AE191" si="113">AB189</f>
        <v>3176952.47</v>
      </c>
      <c r="AC191" s="133">
        <f t="shared" si="113"/>
        <v>0</v>
      </c>
      <c r="AD191" s="133">
        <f t="shared" si="113"/>
        <v>151925.47999999998</v>
      </c>
      <c r="AE191" s="133">
        <f t="shared" si="113"/>
        <v>0</v>
      </c>
      <c r="AF191" s="133">
        <f>AF189</f>
        <v>3328877.95</v>
      </c>
      <c r="AG191" s="133">
        <f t="shared" ref="AG191:AP191" si="114">AG189</f>
        <v>3328877.95</v>
      </c>
      <c r="AH191" s="133">
        <f t="shared" si="114"/>
        <v>0</v>
      </c>
      <c r="AI191" s="133">
        <f t="shared" si="114"/>
        <v>0</v>
      </c>
      <c r="AJ191" s="133">
        <f t="shared" si="114"/>
        <v>0</v>
      </c>
      <c r="AK191" s="133">
        <f t="shared" si="114"/>
        <v>0</v>
      </c>
      <c r="AL191" s="133">
        <f t="shared" si="114"/>
        <v>0</v>
      </c>
      <c r="AM191" s="133">
        <f t="shared" si="114"/>
        <v>0</v>
      </c>
      <c r="AN191" s="133">
        <f t="shared" si="114"/>
        <v>0</v>
      </c>
      <c r="AO191" s="133">
        <f t="shared" si="114"/>
        <v>0</v>
      </c>
      <c r="AP191" s="295">
        <f t="shared" si="114"/>
        <v>0</v>
      </c>
    </row>
    <row r="192" spans="1:42" s="13" customFormat="1" ht="27" customHeight="1" x14ac:dyDescent="0.55000000000000004">
      <c r="A192" s="16"/>
      <c r="B192" s="17"/>
      <c r="C192" s="17"/>
      <c r="D192" s="17"/>
      <c r="E192" s="17"/>
      <c r="F192" s="17"/>
      <c r="G192" s="17"/>
      <c r="H192" s="18"/>
      <c r="I192" s="19"/>
      <c r="J192" s="195"/>
      <c r="K192" s="195"/>
      <c r="L192" s="300"/>
      <c r="M192" s="300"/>
      <c r="N192" s="300"/>
      <c r="O192" s="195"/>
      <c r="P192" s="142"/>
      <c r="Q192" s="195"/>
      <c r="R192" s="142"/>
      <c r="S192" s="239"/>
      <c r="T192" s="142"/>
      <c r="U192" s="239"/>
      <c r="V192" s="195"/>
      <c r="W192" s="18"/>
      <c r="X192" s="18"/>
      <c r="Y192" s="63"/>
      <c r="Z192" s="22"/>
      <c r="AA192" s="22"/>
      <c r="AB192" s="20"/>
      <c r="AC192" s="20"/>
      <c r="AD192" s="20"/>
      <c r="AE192" s="20"/>
      <c r="AF192" s="20"/>
      <c r="AG192" s="20"/>
      <c r="AH192" s="20"/>
      <c r="AI192" s="20"/>
      <c r="AJ192" s="20"/>
      <c r="AK192" s="22"/>
      <c r="AL192" s="22"/>
      <c r="AM192" s="22"/>
      <c r="AN192" s="20"/>
      <c r="AO192" s="20"/>
      <c r="AP192" s="32"/>
    </row>
    <row r="193" spans="1:42" s="96" customFormat="1" x14ac:dyDescent="0.55000000000000004">
      <c r="A193" s="16"/>
      <c r="B193" s="17"/>
      <c r="C193" s="17"/>
      <c r="D193" s="17"/>
      <c r="E193" s="17"/>
      <c r="F193" s="17"/>
      <c r="G193" s="17"/>
      <c r="H193" s="18"/>
      <c r="I193" s="19"/>
      <c r="J193" s="195"/>
      <c r="K193" s="195"/>
      <c r="L193" s="300"/>
      <c r="M193" s="300"/>
      <c r="N193" s="300"/>
      <c r="O193" s="195"/>
      <c r="P193" s="142"/>
      <c r="Q193" s="195"/>
      <c r="R193" s="142"/>
      <c r="S193" s="239"/>
      <c r="T193" s="142"/>
      <c r="U193" s="239"/>
      <c r="V193" s="195"/>
      <c r="W193" s="23"/>
      <c r="X193" s="18"/>
      <c r="Y193" s="114"/>
      <c r="Z193" s="92"/>
      <c r="AA193" s="92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4"/>
      <c r="AN193" s="103"/>
      <c r="AO193" s="20"/>
      <c r="AP193" s="32"/>
    </row>
    <row r="194" spans="1:42" s="106" customFormat="1" ht="43.5" hidden="1" customHeight="1" x14ac:dyDescent="0.2">
      <c r="A194" s="85" t="s">
        <v>63</v>
      </c>
      <c r="B194" s="105"/>
      <c r="C194" s="105"/>
      <c r="D194" s="105"/>
      <c r="E194" s="105"/>
      <c r="F194" s="105"/>
      <c r="G194" s="105"/>
      <c r="H194" s="105"/>
      <c r="J194" s="139"/>
      <c r="K194" s="143"/>
      <c r="L194" s="303"/>
      <c r="M194" s="303"/>
      <c r="N194" s="303"/>
      <c r="O194" s="139"/>
      <c r="P194" s="139"/>
      <c r="Q194" s="139"/>
      <c r="R194" s="139"/>
      <c r="S194" s="235"/>
      <c r="T194" s="139"/>
      <c r="U194" s="235"/>
      <c r="V194" s="139"/>
      <c r="Y194" s="111"/>
      <c r="Z194" s="60"/>
      <c r="AA194" s="60"/>
      <c r="AB194" s="60"/>
      <c r="AC194" s="107"/>
      <c r="AD194" s="107"/>
      <c r="AE194" s="107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</row>
    <row r="195" spans="1:42" s="106" customFormat="1" ht="43.5" hidden="1" customHeight="1" x14ac:dyDescent="0.2">
      <c r="A195" s="97" t="s">
        <v>39</v>
      </c>
      <c r="B195" s="105"/>
      <c r="C195" s="105"/>
      <c r="D195" s="105"/>
      <c r="E195" s="105"/>
      <c r="F195" s="105"/>
      <c r="G195" s="105"/>
      <c r="H195" s="105"/>
      <c r="J195" s="139"/>
      <c r="K195" s="143"/>
      <c r="L195" s="303"/>
      <c r="M195" s="303"/>
      <c r="N195" s="303"/>
      <c r="O195" s="139"/>
      <c r="P195" s="139"/>
      <c r="Q195" s="139"/>
      <c r="R195" s="139"/>
      <c r="S195" s="235"/>
      <c r="T195" s="139"/>
      <c r="U195" s="235"/>
      <c r="V195" s="139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</row>
    <row r="196" spans="1:42" s="22" customFormat="1" ht="152.25" hidden="1" customHeight="1" x14ac:dyDescent="0.55000000000000004">
      <c r="A196" s="73"/>
      <c r="B196" s="73"/>
      <c r="C196" s="74"/>
      <c r="D196" s="74"/>
      <c r="E196" s="74"/>
      <c r="F196" s="74"/>
      <c r="G196" s="74"/>
      <c r="H196" s="226"/>
      <c r="I196" s="168"/>
      <c r="J196" s="194"/>
      <c r="K196" s="194"/>
      <c r="L196" s="302"/>
      <c r="M196" s="302"/>
      <c r="N196" s="302"/>
      <c r="O196" s="194"/>
      <c r="P196" s="141"/>
      <c r="Q196" s="194"/>
      <c r="R196" s="141"/>
      <c r="S196" s="237"/>
      <c r="T196" s="141"/>
      <c r="U196" s="237"/>
      <c r="V196" s="194"/>
      <c r="W196" s="73"/>
      <c r="X196" s="73"/>
      <c r="Y196" s="152"/>
      <c r="Z196" s="153"/>
      <c r="AA196" s="153"/>
      <c r="AB196" s="76"/>
      <c r="AC196" s="330"/>
      <c r="AD196" s="330"/>
      <c r="AE196" s="330"/>
      <c r="AF196" s="76"/>
      <c r="AG196" s="153"/>
      <c r="AH196" s="75"/>
      <c r="AI196" s="75"/>
      <c r="AJ196" s="75"/>
      <c r="AK196" s="75"/>
      <c r="AL196" s="75"/>
      <c r="AM196" s="153"/>
      <c r="AN196" s="153"/>
      <c r="AO196" s="153"/>
      <c r="AP196" s="162"/>
    </row>
    <row r="197" spans="1:42" s="22" customFormat="1" ht="152.25" hidden="1" customHeight="1" x14ac:dyDescent="0.55000000000000004">
      <c r="A197" s="73"/>
      <c r="B197" s="73"/>
      <c r="C197" s="74"/>
      <c r="D197" s="74"/>
      <c r="E197" s="74"/>
      <c r="F197" s="74"/>
      <c r="G197" s="74"/>
      <c r="H197" s="226"/>
      <c r="I197" s="168"/>
      <c r="J197" s="194"/>
      <c r="K197" s="194"/>
      <c r="L197" s="302"/>
      <c r="M197" s="302"/>
      <c r="N197" s="302"/>
      <c r="O197" s="194"/>
      <c r="P197" s="141"/>
      <c r="Q197" s="194"/>
      <c r="R197" s="141"/>
      <c r="S197" s="237"/>
      <c r="T197" s="141"/>
      <c r="U197" s="237"/>
      <c r="V197" s="194"/>
      <c r="W197" s="73"/>
      <c r="X197" s="73"/>
      <c r="Y197" s="152"/>
      <c r="Z197" s="153"/>
      <c r="AA197" s="153"/>
      <c r="AB197" s="76"/>
      <c r="AC197" s="330"/>
      <c r="AD197" s="330"/>
      <c r="AE197" s="330"/>
      <c r="AF197" s="76"/>
      <c r="AG197" s="153"/>
      <c r="AH197" s="75"/>
      <c r="AI197" s="75"/>
      <c r="AJ197" s="75"/>
      <c r="AK197" s="75"/>
      <c r="AL197" s="75"/>
      <c r="AM197" s="153"/>
      <c r="AN197" s="153"/>
      <c r="AO197" s="153"/>
      <c r="AP197" s="162"/>
    </row>
    <row r="198" spans="1:42" s="22" customFormat="1" ht="186" hidden="1" customHeight="1" x14ac:dyDescent="0.55000000000000004">
      <c r="A198" s="73"/>
      <c r="B198" s="73"/>
      <c r="C198" s="74"/>
      <c r="D198" s="74"/>
      <c r="E198" s="74"/>
      <c r="F198" s="74"/>
      <c r="G198" s="74"/>
      <c r="H198" s="226"/>
      <c r="I198" s="168"/>
      <c r="J198" s="194"/>
      <c r="K198" s="194"/>
      <c r="L198" s="302"/>
      <c r="M198" s="302"/>
      <c r="N198" s="302"/>
      <c r="O198" s="194"/>
      <c r="P198" s="141"/>
      <c r="Q198" s="194"/>
      <c r="R198" s="141"/>
      <c r="S198" s="237"/>
      <c r="T198" s="141"/>
      <c r="U198" s="237"/>
      <c r="V198" s="194"/>
      <c r="W198" s="73"/>
      <c r="X198" s="73"/>
      <c r="Y198" s="152"/>
      <c r="Z198" s="153"/>
      <c r="AA198" s="153"/>
      <c r="AB198" s="76"/>
      <c r="AC198" s="330"/>
      <c r="AD198" s="330"/>
      <c r="AE198" s="330"/>
      <c r="AF198" s="76"/>
      <c r="AG198" s="153"/>
      <c r="AH198" s="75"/>
      <c r="AI198" s="75"/>
      <c r="AJ198" s="75"/>
      <c r="AK198" s="75"/>
      <c r="AL198" s="75"/>
      <c r="AM198" s="153"/>
      <c r="AN198" s="153"/>
      <c r="AO198" s="153"/>
      <c r="AP198" s="162"/>
    </row>
    <row r="199" spans="1:42" s="22" customFormat="1" ht="174.75" hidden="1" customHeight="1" x14ac:dyDescent="0.55000000000000004">
      <c r="A199" s="73"/>
      <c r="B199" s="73"/>
      <c r="C199" s="74"/>
      <c r="D199" s="74"/>
      <c r="E199" s="74"/>
      <c r="F199" s="74"/>
      <c r="G199" s="74"/>
      <c r="H199" s="226"/>
      <c r="I199" s="168"/>
      <c r="J199" s="194"/>
      <c r="K199" s="194"/>
      <c r="L199" s="302"/>
      <c r="M199" s="302"/>
      <c r="N199" s="302"/>
      <c r="O199" s="194"/>
      <c r="P199" s="141"/>
      <c r="Q199" s="194"/>
      <c r="R199" s="141"/>
      <c r="S199" s="237"/>
      <c r="T199" s="141"/>
      <c r="U199" s="237"/>
      <c r="V199" s="194"/>
      <c r="W199" s="73"/>
      <c r="X199" s="73"/>
      <c r="Y199" s="153"/>
      <c r="Z199" s="153"/>
      <c r="AA199" s="153"/>
      <c r="AB199" s="76"/>
      <c r="AC199" s="330"/>
      <c r="AD199" s="330"/>
      <c r="AE199" s="330"/>
      <c r="AF199" s="76"/>
      <c r="AG199" s="153"/>
      <c r="AH199" s="75"/>
      <c r="AI199" s="75"/>
      <c r="AJ199" s="75"/>
      <c r="AK199" s="75"/>
      <c r="AL199" s="75"/>
      <c r="AM199" s="153"/>
      <c r="AN199" s="153"/>
      <c r="AO199" s="153"/>
      <c r="AP199" s="162"/>
    </row>
    <row r="200" spans="1:42" s="22" customFormat="1" ht="42" hidden="1" customHeight="1" x14ac:dyDescent="0.55000000000000004">
      <c r="A200" s="73"/>
      <c r="B200" s="73"/>
      <c r="C200" s="74"/>
      <c r="D200" s="74"/>
      <c r="E200" s="74"/>
      <c r="F200" s="74"/>
      <c r="G200" s="74"/>
      <c r="H200" s="228"/>
      <c r="I200" s="229"/>
      <c r="J200" s="194"/>
      <c r="K200" s="194"/>
      <c r="L200" s="302"/>
      <c r="M200" s="302"/>
      <c r="N200" s="302"/>
      <c r="O200" s="194"/>
      <c r="P200" s="141"/>
      <c r="Q200" s="194"/>
      <c r="R200" s="141"/>
      <c r="S200" s="237"/>
      <c r="T200" s="141"/>
      <c r="U200" s="237"/>
      <c r="V200" s="194"/>
      <c r="W200" s="73"/>
      <c r="X200" s="73"/>
      <c r="Y200" s="152"/>
      <c r="Z200" s="153"/>
      <c r="AA200" s="153"/>
      <c r="AB200" s="76"/>
      <c r="AC200" s="330"/>
      <c r="AD200" s="330"/>
      <c r="AE200" s="330"/>
      <c r="AF200" s="76"/>
      <c r="AG200" s="153"/>
      <c r="AH200" s="75"/>
      <c r="AI200" s="75"/>
      <c r="AJ200" s="75"/>
      <c r="AK200" s="75"/>
      <c r="AL200" s="75"/>
      <c r="AM200" s="153"/>
      <c r="AN200" s="153"/>
      <c r="AO200" s="153"/>
      <c r="AP200" s="162"/>
    </row>
    <row r="201" spans="1:42" s="22" customFormat="1" ht="42" hidden="1" customHeight="1" x14ac:dyDescent="0.55000000000000004">
      <c r="A201" s="73"/>
      <c r="B201" s="73"/>
      <c r="C201" s="74"/>
      <c r="D201" s="74"/>
      <c r="E201" s="74"/>
      <c r="F201" s="74"/>
      <c r="G201" s="74"/>
      <c r="H201" s="228"/>
      <c r="I201" s="229"/>
      <c r="J201" s="194"/>
      <c r="K201" s="194"/>
      <c r="L201" s="302"/>
      <c r="M201" s="302"/>
      <c r="N201" s="302"/>
      <c r="O201" s="194"/>
      <c r="P201" s="141"/>
      <c r="Q201" s="194"/>
      <c r="R201" s="141"/>
      <c r="S201" s="237"/>
      <c r="T201" s="141"/>
      <c r="U201" s="237"/>
      <c r="V201" s="194"/>
      <c r="W201" s="73"/>
      <c r="X201" s="73"/>
      <c r="Y201" s="153"/>
      <c r="Z201" s="153"/>
      <c r="AA201" s="153"/>
      <c r="AB201" s="76"/>
      <c r="AC201" s="330"/>
      <c r="AD201" s="330"/>
      <c r="AE201" s="330"/>
      <c r="AF201" s="76"/>
      <c r="AG201" s="153"/>
      <c r="AH201" s="75"/>
      <c r="AI201" s="75"/>
      <c r="AJ201" s="75"/>
      <c r="AK201" s="75"/>
      <c r="AL201" s="75"/>
      <c r="AM201" s="153"/>
      <c r="AN201" s="153"/>
      <c r="AO201" s="153"/>
      <c r="AP201" s="162"/>
    </row>
    <row r="202" spans="1:42" s="22" customFormat="1" ht="63" hidden="1" customHeight="1" x14ac:dyDescent="0.55000000000000004">
      <c r="A202" s="14"/>
      <c r="B202" s="14"/>
      <c r="C202" s="14"/>
      <c r="D202" s="14"/>
      <c r="E202" s="14"/>
      <c r="F202" s="14"/>
      <c r="G202" s="14"/>
      <c r="H202" s="13"/>
      <c r="I202" s="15"/>
      <c r="J202" s="202"/>
      <c r="K202" s="288"/>
      <c r="L202" s="299"/>
      <c r="M202" s="299"/>
      <c r="N202" s="299"/>
      <c r="O202" s="202"/>
      <c r="P202" s="182"/>
      <c r="Q202" s="202"/>
      <c r="R202" s="150">
        <f>SUM(R196:R201)</f>
        <v>0</v>
      </c>
      <c r="S202" s="238">
        <f>SUM(S196:S201)</f>
        <v>0</v>
      </c>
      <c r="T202" s="150">
        <f t="shared" ref="T202:U202" si="115">SUM(T196:T201)</f>
        <v>0</v>
      </c>
      <c r="U202" s="238">
        <f t="shared" si="115"/>
        <v>0</v>
      </c>
      <c r="V202" s="207"/>
      <c r="W202" s="201"/>
      <c r="X202" s="201"/>
      <c r="Y202" s="208"/>
      <c r="Z202" s="201"/>
      <c r="AA202" s="15"/>
      <c r="AB202" s="89">
        <f>SUM(AB196:AB201)</f>
        <v>0</v>
      </c>
      <c r="AC202" s="238"/>
      <c r="AD202" s="238"/>
      <c r="AE202" s="238"/>
      <c r="AF202" s="89"/>
      <c r="AG202" s="89">
        <f t="shared" ref="AG202:AO202" si="116">SUM(AG196:AG201)</f>
        <v>0</v>
      </c>
      <c r="AH202" s="89">
        <f t="shared" si="116"/>
        <v>0</v>
      </c>
      <c r="AI202" s="89">
        <f t="shared" si="116"/>
        <v>0</v>
      </c>
      <c r="AJ202" s="89">
        <f t="shared" si="116"/>
        <v>0</v>
      </c>
      <c r="AK202" s="89">
        <f t="shared" si="116"/>
        <v>0</v>
      </c>
      <c r="AL202" s="89">
        <f t="shared" si="116"/>
        <v>0</v>
      </c>
      <c r="AM202" s="89">
        <f t="shared" si="116"/>
        <v>0</v>
      </c>
      <c r="AN202" s="89">
        <f t="shared" si="116"/>
        <v>0</v>
      </c>
      <c r="AO202" s="89">
        <f t="shared" si="116"/>
        <v>0</v>
      </c>
      <c r="AP202" s="163">
        <f>SUM(AP196:AP198)</f>
        <v>0</v>
      </c>
    </row>
    <row r="203" spans="1:42" s="92" customFormat="1" ht="24" hidden="1" customHeight="1" x14ac:dyDescent="0.55000000000000004">
      <c r="A203" s="90"/>
      <c r="B203" s="91"/>
      <c r="C203" s="91"/>
      <c r="D203" s="91"/>
      <c r="E203" s="91"/>
      <c r="F203" s="91"/>
      <c r="G203" s="91"/>
      <c r="H203" s="18"/>
      <c r="I203" s="171"/>
      <c r="J203" s="195"/>
      <c r="K203" s="143"/>
      <c r="L203" s="303"/>
      <c r="M203" s="303"/>
      <c r="N203" s="303"/>
      <c r="O203" s="195"/>
      <c r="P203" s="209"/>
      <c r="Q203" s="195"/>
      <c r="R203" s="211"/>
      <c r="S203" s="240"/>
      <c r="T203" s="211"/>
      <c r="U203" s="240"/>
      <c r="V203" s="143"/>
      <c r="Y203" s="94"/>
      <c r="Z203" s="91"/>
      <c r="AB203" s="93"/>
      <c r="AC203" s="332"/>
      <c r="AD203" s="332"/>
      <c r="AE203" s="332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</row>
    <row r="204" spans="1:42" s="22" customFormat="1" ht="67.5" hidden="1" customHeight="1" x14ac:dyDescent="0.55000000000000004">
      <c r="A204" s="27"/>
      <c r="B204" s="27"/>
      <c r="C204" s="27"/>
      <c r="D204" s="27"/>
      <c r="E204" s="27"/>
      <c r="F204" s="27"/>
      <c r="G204" s="27"/>
      <c r="H204" s="28"/>
      <c r="I204" s="196"/>
      <c r="J204" s="196"/>
      <c r="K204" s="196"/>
      <c r="L204" s="301"/>
      <c r="M204" s="301"/>
      <c r="N204" s="301"/>
      <c r="O204" s="196"/>
      <c r="P204" s="196"/>
      <c r="Q204" s="196"/>
      <c r="R204" s="167">
        <f>R202</f>
        <v>0</v>
      </c>
      <c r="S204" s="133">
        <f t="shared" ref="S204:U204" si="117">S202</f>
        <v>0</v>
      </c>
      <c r="T204" s="167">
        <f>T202</f>
        <v>0</v>
      </c>
      <c r="U204" s="133">
        <f t="shared" si="117"/>
        <v>0</v>
      </c>
      <c r="V204" s="196"/>
      <c r="W204" s="337" t="s">
        <v>22</v>
      </c>
      <c r="X204" s="338"/>
      <c r="Y204" s="338"/>
      <c r="Z204" s="338"/>
      <c r="AA204" s="183"/>
      <c r="AB204" s="133">
        <f>AB202</f>
        <v>0</v>
      </c>
      <c r="AC204" s="133"/>
      <c r="AD204" s="133"/>
      <c r="AE204" s="133"/>
      <c r="AF204" s="133"/>
      <c r="AG204" s="133">
        <f t="shared" ref="AG204:AP204" si="118">AG202</f>
        <v>0</v>
      </c>
      <c r="AH204" s="133">
        <f t="shared" si="118"/>
        <v>0</v>
      </c>
      <c r="AI204" s="133">
        <f t="shared" si="118"/>
        <v>0</v>
      </c>
      <c r="AJ204" s="133">
        <f t="shared" si="118"/>
        <v>0</v>
      </c>
      <c r="AK204" s="133">
        <f t="shared" si="118"/>
        <v>0</v>
      </c>
      <c r="AL204" s="133">
        <f t="shared" si="118"/>
        <v>0</v>
      </c>
      <c r="AM204" s="133">
        <f t="shared" si="118"/>
        <v>0</v>
      </c>
      <c r="AN204" s="133">
        <f t="shared" si="118"/>
        <v>0</v>
      </c>
      <c r="AO204" s="133">
        <f t="shared" si="118"/>
        <v>0</v>
      </c>
      <c r="AP204" s="162">
        <f t="shared" si="118"/>
        <v>0</v>
      </c>
    </row>
    <row r="205" spans="1:42" s="22" customFormat="1" ht="27" hidden="1" customHeight="1" x14ac:dyDescent="0.55000000000000004">
      <c r="A205" s="16"/>
      <c r="B205" s="17"/>
      <c r="C205" s="17"/>
      <c r="D205" s="17"/>
      <c r="E205" s="17"/>
      <c r="F205" s="17"/>
      <c r="G205" s="17"/>
      <c r="H205" s="18"/>
      <c r="I205" s="19"/>
      <c r="J205" s="195"/>
      <c r="K205" s="195"/>
      <c r="L205" s="300"/>
      <c r="M205" s="300"/>
      <c r="N205" s="300"/>
      <c r="O205" s="195"/>
      <c r="P205" s="142"/>
      <c r="Q205" s="195"/>
      <c r="R205" s="142"/>
      <c r="S205" s="239"/>
      <c r="T205" s="142"/>
      <c r="U205" s="239"/>
      <c r="V205" s="195"/>
      <c r="W205" s="18"/>
      <c r="X205" s="18"/>
      <c r="Y205" s="20"/>
      <c r="Z205" s="20"/>
      <c r="AA205" s="20"/>
      <c r="AB205" s="21"/>
      <c r="AC205" s="172"/>
      <c r="AD205" s="172"/>
      <c r="AE205" s="172"/>
      <c r="AF205" s="21"/>
      <c r="AG205" s="21"/>
      <c r="AH205" s="20"/>
      <c r="AI205" s="20"/>
      <c r="AJ205" s="20"/>
      <c r="AK205" s="20"/>
      <c r="AL205" s="20"/>
      <c r="AM205" s="20"/>
      <c r="AN205" s="20"/>
      <c r="AO205" s="20"/>
      <c r="AP205" s="32"/>
    </row>
    <row r="206" spans="1:42" s="92" customFormat="1" ht="42" hidden="1" customHeight="1" x14ac:dyDescent="0.55000000000000004">
      <c r="A206" s="16"/>
      <c r="B206" s="17"/>
      <c r="C206" s="17"/>
      <c r="D206" s="17"/>
      <c r="E206" s="17"/>
      <c r="F206" s="17"/>
      <c r="G206" s="17"/>
      <c r="H206" s="18"/>
      <c r="I206" s="19"/>
      <c r="J206" s="195"/>
      <c r="K206" s="195"/>
      <c r="L206" s="300"/>
      <c r="M206" s="300"/>
      <c r="N206" s="300"/>
      <c r="O206" s="195"/>
      <c r="P206" s="142"/>
      <c r="Q206" s="195"/>
      <c r="R206" s="142"/>
      <c r="S206" s="239"/>
      <c r="T206" s="142"/>
      <c r="U206" s="239"/>
      <c r="V206" s="195"/>
      <c r="W206" s="18"/>
      <c r="X206" s="18"/>
      <c r="Y206" s="20"/>
      <c r="Z206" s="20"/>
      <c r="AA206" s="20"/>
      <c r="AB206" s="20"/>
      <c r="AC206" s="20"/>
      <c r="AD206" s="20"/>
      <c r="AE206" s="20"/>
      <c r="AF206" s="20"/>
      <c r="AG206" s="21"/>
      <c r="AH206" s="20"/>
      <c r="AI206" s="20"/>
      <c r="AJ206" s="20"/>
      <c r="AK206" s="20"/>
      <c r="AL206" s="20"/>
      <c r="AM206" s="20"/>
      <c r="AN206" s="20"/>
      <c r="AO206" s="20"/>
      <c r="AP206" s="32"/>
    </row>
    <row r="207" spans="1:42" s="106" customFormat="1" ht="43.5" customHeight="1" x14ac:dyDescent="0.2">
      <c r="A207" s="85" t="s">
        <v>86</v>
      </c>
      <c r="B207" s="105"/>
      <c r="C207" s="105"/>
      <c r="D207" s="105"/>
      <c r="E207" s="105"/>
      <c r="F207" s="105"/>
      <c r="G207" s="105"/>
      <c r="H207" s="105"/>
      <c r="J207" s="139"/>
      <c r="K207" s="143"/>
      <c r="L207" s="303"/>
      <c r="M207" s="303"/>
      <c r="N207" s="303"/>
      <c r="O207" s="139"/>
      <c r="P207" s="139"/>
      <c r="Q207" s="139"/>
      <c r="R207" s="139"/>
      <c r="S207" s="235"/>
      <c r="T207" s="139"/>
      <c r="U207" s="235"/>
      <c r="V207" s="139"/>
      <c r="Y207" s="111"/>
      <c r="Z207" s="60"/>
      <c r="AA207" s="60"/>
      <c r="AB207" s="60"/>
      <c r="AC207" s="107"/>
      <c r="AD207" s="107"/>
      <c r="AE207" s="107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</row>
    <row r="208" spans="1:42" s="99" customFormat="1" ht="43.5" customHeight="1" x14ac:dyDescent="0.2">
      <c r="A208" s="97" t="s">
        <v>39</v>
      </c>
      <c r="B208" s="98"/>
      <c r="C208" s="98"/>
      <c r="D208" s="98"/>
      <c r="E208" s="98"/>
      <c r="F208" s="98"/>
      <c r="G208" s="98"/>
      <c r="H208" s="98"/>
      <c r="J208" s="140"/>
      <c r="K208" s="317"/>
      <c r="L208" s="318"/>
      <c r="M208" s="318"/>
      <c r="N208" s="318"/>
      <c r="O208" s="140"/>
      <c r="P208" s="140"/>
      <c r="Q208" s="140"/>
      <c r="R208" s="140"/>
      <c r="S208" s="236"/>
      <c r="T208" s="140"/>
      <c r="U208" s="236"/>
      <c r="V208" s="140"/>
      <c r="Y208" s="112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</row>
    <row r="209" spans="1:42" s="13" customFormat="1" ht="185.25" customHeight="1" x14ac:dyDescent="0.45">
      <c r="A209" s="73" t="s">
        <v>192</v>
      </c>
      <c r="B209" s="73" t="s">
        <v>197</v>
      </c>
      <c r="C209" s="74" t="s">
        <v>55</v>
      </c>
      <c r="D209" s="74" t="s">
        <v>194</v>
      </c>
      <c r="E209" s="74" t="s">
        <v>150</v>
      </c>
      <c r="F209" s="74" t="s">
        <v>52</v>
      </c>
      <c r="G209" s="74"/>
      <c r="H209" s="121" t="s">
        <v>169</v>
      </c>
      <c r="I209" s="73" t="s">
        <v>95</v>
      </c>
      <c r="J209" s="194"/>
      <c r="K209" s="141" t="s">
        <v>48</v>
      </c>
      <c r="L209" s="309">
        <v>43165</v>
      </c>
      <c r="M209" s="309">
        <v>43168</v>
      </c>
      <c r="N209" s="309" t="s">
        <v>250</v>
      </c>
      <c r="O209" s="194"/>
      <c r="P209" s="141">
        <v>21</v>
      </c>
      <c r="Q209" s="194"/>
      <c r="R209" s="141"/>
      <c r="S209" s="237"/>
      <c r="T209" s="141">
        <v>1</v>
      </c>
      <c r="U209" s="237">
        <f>AF209</f>
        <v>2200000</v>
      </c>
      <c r="V209" s="282"/>
      <c r="W209" s="73" t="s">
        <v>48</v>
      </c>
      <c r="X209" s="73" t="s">
        <v>21</v>
      </c>
      <c r="Y209" s="74" t="s">
        <v>129</v>
      </c>
      <c r="Z209" s="153" t="s">
        <v>126</v>
      </c>
      <c r="AA209" s="153" t="s">
        <v>20</v>
      </c>
      <c r="AB209" s="76">
        <v>2200000</v>
      </c>
      <c r="AC209" s="330"/>
      <c r="AD209" s="330"/>
      <c r="AE209" s="330"/>
      <c r="AF209" s="76">
        <f t="shared" ref="AF209:AF220" si="119">SUM(AG209:AO209)</f>
        <v>2200000</v>
      </c>
      <c r="AG209" s="153"/>
      <c r="AH209" s="153"/>
      <c r="AI209" s="153"/>
      <c r="AJ209" s="153">
        <v>2200000</v>
      </c>
      <c r="AK209" s="153"/>
      <c r="AL209" s="75"/>
      <c r="AM209" s="75"/>
      <c r="AN209" s="75"/>
      <c r="AO209" s="75"/>
      <c r="AP209" s="162"/>
    </row>
    <row r="210" spans="1:42" s="13" customFormat="1" ht="345" customHeight="1" x14ac:dyDescent="0.45">
      <c r="A210" s="73" t="s">
        <v>291</v>
      </c>
      <c r="B210" s="73" t="s">
        <v>196</v>
      </c>
      <c r="C210" s="74" t="s">
        <v>76</v>
      </c>
      <c r="D210" s="74" t="s">
        <v>195</v>
      </c>
      <c r="E210" s="74" t="s">
        <v>53</v>
      </c>
      <c r="F210" s="74" t="s">
        <v>52</v>
      </c>
      <c r="G210" s="74"/>
      <c r="H210" s="121" t="s">
        <v>179</v>
      </c>
      <c r="I210" s="121" t="s">
        <v>95</v>
      </c>
      <c r="J210" s="194"/>
      <c r="K210" s="289" t="s">
        <v>201</v>
      </c>
      <c r="L210" s="308">
        <v>43165</v>
      </c>
      <c r="M210" s="308">
        <v>43168</v>
      </c>
      <c r="N210" s="308" t="s">
        <v>240</v>
      </c>
      <c r="O210" s="194"/>
      <c r="P210" s="273"/>
      <c r="Q210" s="194"/>
      <c r="R210" s="141"/>
      <c r="S210" s="237"/>
      <c r="T210" s="141">
        <v>1</v>
      </c>
      <c r="U210" s="237">
        <f>AF210</f>
        <v>0</v>
      </c>
      <c r="V210" s="282"/>
      <c r="W210" s="73" t="s">
        <v>48</v>
      </c>
      <c r="X210" s="73" t="s">
        <v>21</v>
      </c>
      <c r="Y210" s="152" t="s">
        <v>57</v>
      </c>
      <c r="Z210" s="153" t="s">
        <v>25</v>
      </c>
      <c r="AA210" s="153" t="s">
        <v>20</v>
      </c>
      <c r="AB210" s="76">
        <v>2000000</v>
      </c>
      <c r="AC210" s="330">
        <f>AB210</f>
        <v>2000000</v>
      </c>
      <c r="AD210" s="330"/>
      <c r="AE210" s="330"/>
      <c r="AF210" s="76">
        <f t="shared" si="119"/>
        <v>0</v>
      </c>
      <c r="AG210" s="153"/>
      <c r="AH210" s="75"/>
      <c r="AI210" s="75">
        <f>2000000-2000000</f>
        <v>0</v>
      </c>
      <c r="AJ210" s="75"/>
      <c r="AK210" s="75"/>
      <c r="AL210" s="75"/>
      <c r="AM210" s="153"/>
      <c r="AN210" s="153"/>
      <c r="AO210" s="153"/>
      <c r="AP210" s="162"/>
    </row>
    <row r="211" spans="1:42" s="13" customFormat="1" ht="345" customHeight="1" x14ac:dyDescent="0.45">
      <c r="A211" s="73" t="s">
        <v>395</v>
      </c>
      <c r="B211" s="73" t="s">
        <v>196</v>
      </c>
      <c r="C211" s="74" t="s">
        <v>76</v>
      </c>
      <c r="D211" s="74" t="s">
        <v>195</v>
      </c>
      <c r="E211" s="74" t="s">
        <v>53</v>
      </c>
      <c r="F211" s="74" t="s">
        <v>52</v>
      </c>
      <c r="G211" s="74"/>
      <c r="H211" s="121" t="s">
        <v>179</v>
      </c>
      <c r="I211" s="121" t="s">
        <v>43</v>
      </c>
      <c r="J211" s="194"/>
      <c r="K211" s="289" t="s">
        <v>201</v>
      </c>
      <c r="L211" s="308">
        <v>43165</v>
      </c>
      <c r="M211" s="308">
        <v>43168</v>
      </c>
      <c r="N211" s="308" t="s">
        <v>240</v>
      </c>
      <c r="O211" s="194"/>
      <c r="P211" s="273"/>
      <c r="Q211" s="194"/>
      <c r="R211" s="141"/>
      <c r="S211" s="237"/>
      <c r="T211" s="141">
        <v>1</v>
      </c>
      <c r="U211" s="237">
        <f>AF211</f>
        <v>1000000</v>
      </c>
      <c r="V211" s="282"/>
      <c r="W211" s="73" t="s">
        <v>48</v>
      </c>
      <c r="X211" s="73" t="s">
        <v>21</v>
      </c>
      <c r="Y211" s="152" t="s">
        <v>57</v>
      </c>
      <c r="Z211" s="153" t="s">
        <v>25</v>
      </c>
      <c r="AA211" s="153" t="s">
        <v>20</v>
      </c>
      <c r="AB211" s="76">
        <v>0</v>
      </c>
      <c r="AC211" s="330">
        <v>1000000</v>
      </c>
      <c r="AD211" s="330"/>
      <c r="AE211" s="330">
        <v>2000000</v>
      </c>
      <c r="AF211" s="76">
        <f t="shared" ref="AF211" si="120">SUM(AG211:AO211)</f>
        <v>1000000</v>
      </c>
      <c r="AG211" s="153"/>
      <c r="AH211" s="75"/>
      <c r="AI211" s="75">
        <f>2000000-1000000</f>
        <v>1000000</v>
      </c>
      <c r="AJ211" s="75"/>
      <c r="AK211" s="75"/>
      <c r="AL211" s="75"/>
      <c r="AM211" s="153"/>
      <c r="AN211" s="153"/>
      <c r="AO211" s="153"/>
      <c r="AP211" s="162"/>
    </row>
    <row r="212" spans="1:42" s="13" customFormat="1" ht="174" customHeight="1" x14ac:dyDescent="0.45">
      <c r="A212" s="73" t="s">
        <v>292</v>
      </c>
      <c r="B212" s="73" t="s">
        <v>196</v>
      </c>
      <c r="C212" s="74" t="s">
        <v>55</v>
      </c>
      <c r="D212" s="74" t="s">
        <v>50</v>
      </c>
      <c r="E212" s="74" t="s">
        <v>150</v>
      </c>
      <c r="F212" s="74" t="s">
        <v>52</v>
      </c>
      <c r="G212" s="74"/>
      <c r="H212" s="121" t="s">
        <v>162</v>
      </c>
      <c r="I212" s="121" t="s">
        <v>43</v>
      </c>
      <c r="J212" s="194"/>
      <c r="K212" s="141" t="s">
        <v>48</v>
      </c>
      <c r="L212" s="309">
        <v>43165</v>
      </c>
      <c r="M212" s="309">
        <v>43168</v>
      </c>
      <c r="N212" s="309" t="s">
        <v>250</v>
      </c>
      <c r="O212" s="194"/>
      <c r="P212" s="273"/>
      <c r="Q212" s="194"/>
      <c r="R212" s="141">
        <v>1</v>
      </c>
      <c r="S212" s="237">
        <f>AF212</f>
        <v>700000</v>
      </c>
      <c r="T212" s="141"/>
      <c r="U212" s="237"/>
      <c r="V212" s="282"/>
      <c r="W212" s="73" t="s">
        <v>48</v>
      </c>
      <c r="X212" s="73" t="s">
        <v>21</v>
      </c>
      <c r="Y212" s="152" t="s">
        <v>57</v>
      </c>
      <c r="Z212" s="153" t="s">
        <v>25</v>
      </c>
      <c r="AA212" s="153"/>
      <c r="AB212" s="76">
        <v>700000</v>
      </c>
      <c r="AC212" s="330"/>
      <c r="AD212" s="330"/>
      <c r="AE212" s="330"/>
      <c r="AF212" s="76">
        <f t="shared" si="119"/>
        <v>700000</v>
      </c>
      <c r="AG212" s="153"/>
      <c r="AH212" s="75"/>
      <c r="AI212" s="75">
        <v>700000</v>
      </c>
      <c r="AJ212" s="75"/>
      <c r="AK212" s="75"/>
      <c r="AL212" s="75"/>
      <c r="AM212" s="153"/>
      <c r="AN212" s="153"/>
      <c r="AO212" s="153"/>
      <c r="AP212" s="162"/>
    </row>
    <row r="213" spans="1:42" s="13" customFormat="1" ht="369" customHeight="1" x14ac:dyDescent="0.45">
      <c r="A213" s="73" t="s">
        <v>293</v>
      </c>
      <c r="B213" s="73" t="s">
        <v>196</v>
      </c>
      <c r="C213" s="74" t="s">
        <v>101</v>
      </c>
      <c r="D213" s="74" t="s">
        <v>172</v>
      </c>
      <c r="E213" s="74" t="s">
        <v>51</v>
      </c>
      <c r="F213" s="74" t="s">
        <v>52</v>
      </c>
      <c r="G213" s="74"/>
      <c r="H213" s="121" t="s">
        <v>174</v>
      </c>
      <c r="I213" s="121" t="s">
        <v>95</v>
      </c>
      <c r="J213" s="194"/>
      <c r="K213" s="141" t="s">
        <v>48</v>
      </c>
      <c r="L213" s="309">
        <v>43165</v>
      </c>
      <c r="M213" s="309">
        <v>43168</v>
      </c>
      <c r="N213" s="309" t="s">
        <v>250</v>
      </c>
      <c r="O213" s="194"/>
      <c r="P213" s="273"/>
      <c r="Q213" s="194"/>
      <c r="R213" s="141"/>
      <c r="S213" s="237"/>
      <c r="T213" s="141">
        <v>1</v>
      </c>
      <c r="U213" s="237">
        <f t="shared" ref="U213:U216" si="121">AF213</f>
        <v>0</v>
      </c>
      <c r="V213" s="282"/>
      <c r="W213" s="73" t="s">
        <v>48</v>
      </c>
      <c r="X213" s="73" t="s">
        <v>21</v>
      </c>
      <c r="Y213" s="152" t="s">
        <v>57</v>
      </c>
      <c r="Z213" s="153" t="s">
        <v>25</v>
      </c>
      <c r="AA213" s="153"/>
      <c r="AB213" s="76">
        <v>4000000</v>
      </c>
      <c r="AC213" s="330">
        <f>AB213</f>
        <v>4000000</v>
      </c>
      <c r="AD213" s="330"/>
      <c r="AE213" s="330"/>
      <c r="AF213" s="76">
        <f t="shared" si="119"/>
        <v>0</v>
      </c>
      <c r="AG213" s="153"/>
      <c r="AH213" s="75"/>
      <c r="AI213" s="75">
        <f>4000000-4000000</f>
        <v>0</v>
      </c>
      <c r="AJ213" s="75"/>
      <c r="AK213" s="75"/>
      <c r="AL213" s="75"/>
      <c r="AM213" s="153"/>
      <c r="AN213" s="153"/>
      <c r="AO213" s="153"/>
      <c r="AP213" s="162"/>
    </row>
    <row r="214" spans="1:42" s="13" customFormat="1" ht="369" customHeight="1" x14ac:dyDescent="0.45">
      <c r="A214" s="73" t="s">
        <v>396</v>
      </c>
      <c r="B214" s="73" t="s">
        <v>196</v>
      </c>
      <c r="C214" s="74" t="s">
        <v>101</v>
      </c>
      <c r="D214" s="74" t="s">
        <v>172</v>
      </c>
      <c r="E214" s="74" t="s">
        <v>51</v>
      </c>
      <c r="F214" s="74" t="s">
        <v>52</v>
      </c>
      <c r="G214" s="74"/>
      <c r="H214" s="121" t="s">
        <v>174</v>
      </c>
      <c r="I214" s="121" t="s">
        <v>43</v>
      </c>
      <c r="J214" s="194"/>
      <c r="K214" s="141" t="s">
        <v>48</v>
      </c>
      <c r="L214" s="309">
        <v>43165</v>
      </c>
      <c r="M214" s="309">
        <v>43168</v>
      </c>
      <c r="N214" s="309" t="s">
        <v>250</v>
      </c>
      <c r="O214" s="194"/>
      <c r="P214" s="273"/>
      <c r="Q214" s="194"/>
      <c r="R214" s="141"/>
      <c r="S214" s="237"/>
      <c r="T214" s="141">
        <v>1</v>
      </c>
      <c r="U214" s="237">
        <f t="shared" si="121"/>
        <v>4000000</v>
      </c>
      <c r="V214" s="282"/>
      <c r="W214" s="73" t="s">
        <v>48</v>
      </c>
      <c r="X214" s="73" t="s">
        <v>21</v>
      </c>
      <c r="Y214" s="152" t="s">
        <v>57</v>
      </c>
      <c r="Z214" s="153" t="s">
        <v>25</v>
      </c>
      <c r="AA214" s="153"/>
      <c r="AB214" s="76">
        <v>0</v>
      </c>
      <c r="AC214" s="330">
        <v>98585.38</v>
      </c>
      <c r="AD214" s="330"/>
      <c r="AE214" s="330">
        <f>4000000+98585.38</f>
        <v>4098585.38</v>
      </c>
      <c r="AF214" s="76">
        <f t="shared" ref="AF214" si="122">SUM(AG214:AO214)</f>
        <v>4000000</v>
      </c>
      <c r="AG214" s="153"/>
      <c r="AH214" s="75"/>
      <c r="AI214" s="75">
        <f>4000000-98585.38</f>
        <v>3901414.62</v>
      </c>
      <c r="AJ214" s="75">
        <v>98585.38</v>
      </c>
      <c r="AK214" s="75"/>
      <c r="AL214" s="75"/>
      <c r="AM214" s="153"/>
      <c r="AN214" s="153"/>
      <c r="AO214" s="153"/>
      <c r="AP214" s="162"/>
    </row>
    <row r="215" spans="1:42" s="13" customFormat="1" ht="192" customHeight="1" x14ac:dyDescent="0.45">
      <c r="A215" s="73" t="s">
        <v>294</v>
      </c>
      <c r="B215" s="73" t="s">
        <v>196</v>
      </c>
      <c r="C215" s="74" t="s">
        <v>101</v>
      </c>
      <c r="D215" s="74" t="s">
        <v>172</v>
      </c>
      <c r="E215" s="74" t="s">
        <v>51</v>
      </c>
      <c r="F215" s="74" t="s">
        <v>52</v>
      </c>
      <c r="G215" s="74"/>
      <c r="H215" s="121" t="s">
        <v>163</v>
      </c>
      <c r="I215" s="121" t="s">
        <v>95</v>
      </c>
      <c r="J215" s="194"/>
      <c r="K215" s="141" t="s">
        <v>48</v>
      </c>
      <c r="L215" s="309">
        <v>43165</v>
      </c>
      <c r="M215" s="309">
        <v>43168</v>
      </c>
      <c r="N215" s="309" t="s">
        <v>250</v>
      </c>
      <c r="O215" s="194"/>
      <c r="P215" s="273"/>
      <c r="Q215" s="194"/>
      <c r="R215" s="141"/>
      <c r="S215" s="237"/>
      <c r="T215" s="141">
        <v>1</v>
      </c>
      <c r="U215" s="237">
        <f t="shared" si="121"/>
        <v>0</v>
      </c>
      <c r="V215" s="282"/>
      <c r="W215" s="73" t="s">
        <v>48</v>
      </c>
      <c r="X215" s="73" t="s">
        <v>21</v>
      </c>
      <c r="Y215" s="152" t="s">
        <v>57</v>
      </c>
      <c r="Z215" s="153" t="s">
        <v>25</v>
      </c>
      <c r="AA215" s="153" t="s">
        <v>20</v>
      </c>
      <c r="AB215" s="76">
        <v>4500000</v>
      </c>
      <c r="AC215" s="330">
        <f>AB215</f>
        <v>4500000</v>
      </c>
      <c r="AD215" s="330"/>
      <c r="AE215" s="330"/>
      <c r="AF215" s="76">
        <f t="shared" si="119"/>
        <v>0</v>
      </c>
      <c r="AG215" s="153"/>
      <c r="AH215" s="75"/>
      <c r="AI215" s="75">
        <f>4500000-4500000</f>
        <v>0</v>
      </c>
      <c r="AJ215" s="75"/>
      <c r="AK215" s="75"/>
      <c r="AL215" s="75"/>
      <c r="AM215" s="153"/>
      <c r="AN215" s="153"/>
      <c r="AO215" s="153"/>
      <c r="AP215" s="162"/>
    </row>
    <row r="216" spans="1:42" s="13" customFormat="1" ht="192" customHeight="1" x14ac:dyDescent="0.45">
      <c r="A216" s="73" t="s">
        <v>397</v>
      </c>
      <c r="B216" s="73" t="s">
        <v>196</v>
      </c>
      <c r="C216" s="74" t="s">
        <v>101</v>
      </c>
      <c r="D216" s="74" t="s">
        <v>172</v>
      </c>
      <c r="E216" s="74" t="s">
        <v>51</v>
      </c>
      <c r="F216" s="74" t="s">
        <v>52</v>
      </c>
      <c r="G216" s="74"/>
      <c r="H216" s="121" t="s">
        <v>163</v>
      </c>
      <c r="I216" s="121" t="s">
        <v>43</v>
      </c>
      <c r="J216" s="194"/>
      <c r="K216" s="141" t="s">
        <v>48</v>
      </c>
      <c r="L216" s="309">
        <v>43165</v>
      </c>
      <c r="M216" s="309">
        <v>43168</v>
      </c>
      <c r="N216" s="309" t="s">
        <v>250</v>
      </c>
      <c r="O216" s="194"/>
      <c r="P216" s="273"/>
      <c r="Q216" s="194"/>
      <c r="R216" s="141"/>
      <c r="S216" s="237"/>
      <c r="T216" s="141">
        <v>1</v>
      </c>
      <c r="U216" s="237">
        <f t="shared" si="121"/>
        <v>4500000</v>
      </c>
      <c r="V216" s="282"/>
      <c r="W216" s="73" t="s">
        <v>48</v>
      </c>
      <c r="X216" s="73" t="s">
        <v>21</v>
      </c>
      <c r="Y216" s="152" t="s">
        <v>57</v>
      </c>
      <c r="Z216" s="153" t="s">
        <v>25</v>
      </c>
      <c r="AA216" s="153" t="s">
        <v>20</v>
      </c>
      <c r="AB216" s="76">
        <v>0</v>
      </c>
      <c r="AC216" s="330"/>
      <c r="AD216" s="330"/>
      <c r="AE216" s="330">
        <v>4500000</v>
      </c>
      <c r="AF216" s="76">
        <f t="shared" ref="AF216" si="123">SUM(AG216:AO216)</f>
        <v>4500000</v>
      </c>
      <c r="AG216" s="153"/>
      <c r="AH216" s="75"/>
      <c r="AI216" s="75">
        <v>4500000</v>
      </c>
      <c r="AJ216" s="75"/>
      <c r="AK216" s="75"/>
      <c r="AL216" s="75"/>
      <c r="AM216" s="153"/>
      <c r="AN216" s="153"/>
      <c r="AO216" s="153"/>
      <c r="AP216" s="162"/>
    </row>
    <row r="217" spans="1:42" s="13" customFormat="1" ht="221.25" customHeight="1" x14ac:dyDescent="0.45">
      <c r="A217" s="73" t="s">
        <v>295</v>
      </c>
      <c r="B217" s="73" t="s">
        <v>196</v>
      </c>
      <c r="C217" s="74" t="s">
        <v>55</v>
      </c>
      <c r="D217" s="74" t="s">
        <v>172</v>
      </c>
      <c r="E217" s="74" t="s">
        <v>150</v>
      </c>
      <c r="F217" s="74" t="s">
        <v>52</v>
      </c>
      <c r="G217" s="74"/>
      <c r="H217" s="121" t="s">
        <v>170</v>
      </c>
      <c r="I217" s="121" t="s">
        <v>171</v>
      </c>
      <c r="J217" s="194"/>
      <c r="K217" s="141" t="s">
        <v>48</v>
      </c>
      <c r="L217" s="309">
        <v>43165</v>
      </c>
      <c r="M217" s="309">
        <v>43168</v>
      </c>
      <c r="N217" s="309" t="s">
        <v>250</v>
      </c>
      <c r="O217" s="194"/>
      <c r="P217" s="273"/>
      <c r="Q217" s="194"/>
      <c r="R217" s="141"/>
      <c r="S217" s="237"/>
      <c r="T217" s="141">
        <v>1</v>
      </c>
      <c r="U217" s="237">
        <f t="shared" ref="U217:U218" si="124">AF217</f>
        <v>3850000</v>
      </c>
      <c r="V217" s="282"/>
      <c r="W217" s="73" t="s">
        <v>48</v>
      </c>
      <c r="X217" s="73" t="s">
        <v>21</v>
      </c>
      <c r="Y217" s="152" t="s">
        <v>57</v>
      </c>
      <c r="Z217" s="153" t="s">
        <v>26</v>
      </c>
      <c r="AA217" s="153" t="s">
        <v>20</v>
      </c>
      <c r="AB217" s="76">
        <v>3850000</v>
      </c>
      <c r="AC217" s="330"/>
      <c r="AD217" s="330"/>
      <c r="AE217" s="330"/>
      <c r="AF217" s="76">
        <f t="shared" ref="AF217:AF218" si="125">SUM(AG217:AO217)</f>
        <v>3850000</v>
      </c>
      <c r="AG217" s="153"/>
      <c r="AH217" s="75"/>
      <c r="AI217" s="75">
        <v>3850000</v>
      </c>
      <c r="AJ217" s="75"/>
      <c r="AK217" s="75"/>
      <c r="AL217" s="75"/>
      <c r="AM217" s="153"/>
      <c r="AN217" s="153"/>
      <c r="AO217" s="153"/>
      <c r="AP217" s="162"/>
    </row>
    <row r="218" spans="1:42" s="13" customFormat="1" ht="185.25" customHeight="1" x14ac:dyDescent="0.45">
      <c r="A218" s="73" t="s">
        <v>296</v>
      </c>
      <c r="B218" s="73" t="s">
        <v>196</v>
      </c>
      <c r="C218" s="74" t="s">
        <v>76</v>
      </c>
      <c r="D218" s="74" t="s">
        <v>50</v>
      </c>
      <c r="E218" s="74" t="s">
        <v>51</v>
      </c>
      <c r="F218" s="74" t="s">
        <v>52</v>
      </c>
      <c r="G218" s="74"/>
      <c r="H218" s="121" t="s">
        <v>252</v>
      </c>
      <c r="I218" s="121" t="s">
        <v>49</v>
      </c>
      <c r="J218" s="194"/>
      <c r="K218" s="141"/>
      <c r="L218" s="309"/>
      <c r="M218" s="309"/>
      <c r="N218" s="309"/>
      <c r="O218" s="194"/>
      <c r="P218" s="273"/>
      <c r="Q218" s="194"/>
      <c r="R218" s="141"/>
      <c r="S218" s="237"/>
      <c r="T218" s="141">
        <v>1</v>
      </c>
      <c r="U218" s="237">
        <f t="shared" si="124"/>
        <v>1000000</v>
      </c>
      <c r="V218" s="282"/>
      <c r="W218" s="73" t="s">
        <v>48</v>
      </c>
      <c r="X218" s="73" t="s">
        <v>21</v>
      </c>
      <c r="Y218" s="152" t="s">
        <v>77</v>
      </c>
      <c r="Z218" s="153" t="s">
        <v>25</v>
      </c>
      <c r="AA218" s="153"/>
      <c r="AB218" s="76">
        <v>1000000</v>
      </c>
      <c r="AC218" s="330"/>
      <c r="AD218" s="330"/>
      <c r="AE218" s="330"/>
      <c r="AF218" s="76">
        <f t="shared" si="125"/>
        <v>1000000</v>
      </c>
      <c r="AG218" s="153"/>
      <c r="AH218" s="75"/>
      <c r="AI218" s="75">
        <v>1000000</v>
      </c>
      <c r="AJ218" s="75"/>
      <c r="AK218" s="75"/>
      <c r="AL218" s="75"/>
      <c r="AM218" s="153"/>
      <c r="AN218" s="153"/>
      <c r="AO218" s="153"/>
      <c r="AP218" s="162"/>
    </row>
    <row r="219" spans="1:42" s="13" customFormat="1" ht="221.25" customHeight="1" x14ac:dyDescent="0.45">
      <c r="A219" s="73" t="s">
        <v>419</v>
      </c>
      <c r="B219" s="73" t="s">
        <v>197</v>
      </c>
      <c r="C219" s="74" t="s">
        <v>55</v>
      </c>
      <c r="D219" s="74" t="s">
        <v>194</v>
      </c>
      <c r="E219" s="74" t="s">
        <v>51</v>
      </c>
      <c r="F219" s="74" t="s">
        <v>52</v>
      </c>
      <c r="G219" s="74"/>
      <c r="H219" s="121" t="s">
        <v>421</v>
      </c>
      <c r="I219" s="121" t="s">
        <v>49</v>
      </c>
      <c r="J219" s="194"/>
      <c r="K219" s="141"/>
      <c r="L219" s="309"/>
      <c r="M219" s="309"/>
      <c r="N219" s="309"/>
      <c r="O219" s="194"/>
      <c r="P219" s="273"/>
      <c r="Q219" s="194"/>
      <c r="R219" s="141"/>
      <c r="S219" s="237"/>
      <c r="T219" s="141"/>
      <c r="U219" s="237"/>
      <c r="V219" s="282"/>
      <c r="W219" s="73" t="s">
        <v>48</v>
      </c>
      <c r="X219" s="73" t="s">
        <v>21</v>
      </c>
      <c r="Y219" s="152" t="s">
        <v>77</v>
      </c>
      <c r="Z219" s="153" t="s">
        <v>25</v>
      </c>
      <c r="AA219" s="153" t="s">
        <v>20</v>
      </c>
      <c r="AB219" s="76">
        <v>0</v>
      </c>
      <c r="AC219" s="330"/>
      <c r="AD219" s="330"/>
      <c r="AE219" s="330">
        <v>1000000</v>
      </c>
      <c r="AF219" s="76">
        <f t="shared" si="119"/>
        <v>1000000</v>
      </c>
      <c r="AG219" s="153"/>
      <c r="AH219" s="75"/>
      <c r="AI219" s="75">
        <v>1000000</v>
      </c>
      <c r="AJ219" s="75"/>
      <c r="AK219" s="75"/>
      <c r="AL219" s="75"/>
      <c r="AM219" s="153"/>
      <c r="AN219" s="153"/>
      <c r="AO219" s="153"/>
      <c r="AP219" s="162"/>
    </row>
    <row r="220" spans="1:42" s="13" customFormat="1" ht="185.25" customHeight="1" x14ac:dyDescent="0.45">
      <c r="A220" s="73" t="s">
        <v>420</v>
      </c>
      <c r="B220" s="73" t="s">
        <v>196</v>
      </c>
      <c r="C220" s="74" t="s">
        <v>55</v>
      </c>
      <c r="D220" s="74" t="s">
        <v>172</v>
      </c>
      <c r="E220" s="74" t="s">
        <v>150</v>
      </c>
      <c r="F220" s="74" t="s">
        <v>52</v>
      </c>
      <c r="G220" s="74"/>
      <c r="H220" s="121" t="s">
        <v>422</v>
      </c>
      <c r="I220" s="121" t="s">
        <v>43</v>
      </c>
      <c r="J220" s="194"/>
      <c r="K220" s="141"/>
      <c r="L220" s="309"/>
      <c r="M220" s="309"/>
      <c r="N220" s="309"/>
      <c r="O220" s="194"/>
      <c r="P220" s="273"/>
      <c r="Q220" s="194"/>
      <c r="R220" s="141"/>
      <c r="S220" s="237"/>
      <c r="T220" s="141"/>
      <c r="U220" s="237"/>
      <c r="V220" s="282"/>
      <c r="W220" s="73" t="s">
        <v>48</v>
      </c>
      <c r="X220" s="73" t="s">
        <v>21</v>
      </c>
      <c r="Y220" s="152" t="s">
        <v>57</v>
      </c>
      <c r="Z220" s="153" t="s">
        <v>25</v>
      </c>
      <c r="AA220" s="153"/>
      <c r="AB220" s="76">
        <v>0</v>
      </c>
      <c r="AC220" s="330"/>
      <c r="AD220" s="330"/>
      <c r="AE220" s="330">
        <v>3000000</v>
      </c>
      <c r="AF220" s="76">
        <f t="shared" si="119"/>
        <v>3000000</v>
      </c>
      <c r="AG220" s="153"/>
      <c r="AH220" s="75"/>
      <c r="AI220" s="75">
        <v>3000000</v>
      </c>
      <c r="AJ220" s="75"/>
      <c r="AK220" s="75"/>
      <c r="AL220" s="75"/>
      <c r="AM220" s="153"/>
      <c r="AN220" s="153"/>
      <c r="AO220" s="153"/>
      <c r="AP220" s="162"/>
    </row>
    <row r="221" spans="1:42" s="13" customFormat="1" ht="63" customHeight="1" x14ac:dyDescent="0.55000000000000004">
      <c r="A221" s="72"/>
      <c r="B221" s="14"/>
      <c r="C221" s="14"/>
      <c r="D221" s="14"/>
      <c r="E221" s="14"/>
      <c r="F221" s="14"/>
      <c r="G221" s="14"/>
      <c r="H221" s="14"/>
      <c r="I221" s="15"/>
      <c r="K221" s="288"/>
      <c r="L221" s="299"/>
      <c r="M221" s="299"/>
      <c r="N221" s="299"/>
      <c r="O221" s="288"/>
      <c r="P221" s="151">
        <f>SUM(P210:P219)</f>
        <v>0</v>
      </c>
      <c r="Q221" s="202"/>
      <c r="R221" s="151">
        <f>SUM(R209:R220)</f>
        <v>1</v>
      </c>
      <c r="S221" s="238">
        <f>SUM(S209:S220)</f>
        <v>700000</v>
      </c>
      <c r="T221" s="151">
        <f>SUM(T209:T220)</f>
        <v>9</v>
      </c>
      <c r="U221" s="238">
        <f>SUM(U209:U220)</f>
        <v>16550000</v>
      </c>
      <c r="V221" s="207"/>
      <c r="W221" s="201"/>
      <c r="X221" s="15"/>
      <c r="Y221" s="14"/>
      <c r="Z221" s="15"/>
      <c r="AA221" s="15"/>
      <c r="AB221" s="238">
        <f>SUM(AB209:AB220)</f>
        <v>18250000</v>
      </c>
      <c r="AC221" s="238">
        <f t="shared" ref="AC221:AE221" si="126">SUM(AC209:AC220)</f>
        <v>11598585.379999999</v>
      </c>
      <c r="AD221" s="238">
        <f t="shared" si="126"/>
        <v>0</v>
      </c>
      <c r="AE221" s="238">
        <f t="shared" si="126"/>
        <v>14598585.379999999</v>
      </c>
      <c r="AF221" s="238">
        <f>SUM(AF209:AF220)</f>
        <v>21250000</v>
      </c>
      <c r="AG221" s="238">
        <f t="shared" ref="AG221:AO221" si="127">SUM(AG209:AG220)</f>
        <v>0</v>
      </c>
      <c r="AH221" s="238">
        <f t="shared" si="127"/>
        <v>0</v>
      </c>
      <c r="AI221" s="238">
        <f t="shared" si="127"/>
        <v>18951414.620000001</v>
      </c>
      <c r="AJ221" s="238">
        <f t="shared" si="127"/>
        <v>2298585.38</v>
      </c>
      <c r="AK221" s="238">
        <f t="shared" si="127"/>
        <v>0</v>
      </c>
      <c r="AL221" s="238">
        <f t="shared" si="127"/>
        <v>0</v>
      </c>
      <c r="AM221" s="238">
        <f t="shared" si="127"/>
        <v>0</v>
      </c>
      <c r="AN221" s="238">
        <f t="shared" si="127"/>
        <v>0</v>
      </c>
      <c r="AO221" s="238">
        <f t="shared" si="127"/>
        <v>0</v>
      </c>
      <c r="AP221" s="294" t="e">
        <f>SUM(#REF!)</f>
        <v>#REF!</v>
      </c>
    </row>
    <row r="223" spans="1:42" s="92" customFormat="1" x14ac:dyDescent="0.55000000000000004">
      <c r="A223" s="169"/>
      <c r="B223" s="170"/>
      <c r="C223" s="170"/>
      <c r="D223" s="170"/>
      <c r="E223" s="170"/>
      <c r="F223" s="170"/>
      <c r="G223" s="170"/>
      <c r="H223" s="14"/>
      <c r="I223" s="171"/>
      <c r="J223" s="185"/>
      <c r="K223" s="185"/>
      <c r="L223" s="300"/>
      <c r="M223" s="300"/>
      <c r="N223" s="300"/>
      <c r="O223" s="185"/>
      <c r="P223" s="171"/>
      <c r="Q223" s="185"/>
      <c r="R223" s="218"/>
      <c r="S223" s="171"/>
      <c r="T223" s="218"/>
      <c r="U223" s="171"/>
      <c r="V223" s="185"/>
      <c r="W223" s="14"/>
      <c r="X223" s="14"/>
      <c r="Y223" s="172"/>
      <c r="Z223" s="172"/>
      <c r="AA223" s="172"/>
      <c r="AB223" s="95"/>
      <c r="AC223" s="257"/>
      <c r="AD223" s="257"/>
      <c r="AE223" s="257"/>
      <c r="AF223" s="95"/>
      <c r="AG223" s="95"/>
      <c r="AH223" s="172"/>
      <c r="AI223" s="172"/>
      <c r="AJ223" s="173"/>
      <c r="AK223" s="172"/>
      <c r="AL223" s="172"/>
      <c r="AM223" s="172"/>
      <c r="AN223" s="172"/>
      <c r="AO223" s="172"/>
      <c r="AP223" s="32"/>
    </row>
    <row r="224" spans="1:42" s="99" customFormat="1" ht="43.5" customHeight="1" x14ac:dyDescent="0.2">
      <c r="A224" s="97" t="s">
        <v>164</v>
      </c>
      <c r="B224" s="98"/>
      <c r="C224" s="98"/>
      <c r="D224" s="98"/>
      <c r="E224" s="98"/>
      <c r="F224" s="98"/>
      <c r="G224" s="98"/>
      <c r="H224" s="98"/>
      <c r="J224" s="140"/>
      <c r="K224" s="317"/>
      <c r="L224" s="318"/>
      <c r="M224" s="318"/>
      <c r="N224" s="318"/>
      <c r="O224" s="140"/>
      <c r="P224" s="140"/>
      <c r="Q224" s="140"/>
      <c r="R224" s="140"/>
      <c r="S224" s="236"/>
      <c r="T224" s="140"/>
      <c r="U224" s="236"/>
      <c r="V224" s="140"/>
      <c r="Y224" s="112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</row>
    <row r="225" spans="1:42" s="13" customFormat="1" ht="217.5" customHeight="1" x14ac:dyDescent="0.45">
      <c r="A225" s="73" t="s">
        <v>297</v>
      </c>
      <c r="B225" s="73" t="s">
        <v>165</v>
      </c>
      <c r="C225" s="74" t="s">
        <v>55</v>
      </c>
      <c r="D225" s="74" t="s">
        <v>167</v>
      </c>
      <c r="E225" s="74" t="s">
        <v>53</v>
      </c>
      <c r="F225" s="74" t="s">
        <v>168</v>
      </c>
      <c r="G225" s="74"/>
      <c r="H225" s="121" t="s">
        <v>166</v>
      </c>
      <c r="I225" s="121" t="s">
        <v>95</v>
      </c>
      <c r="J225" s="194"/>
      <c r="K225" s="287" t="s">
        <v>203</v>
      </c>
      <c r="L225" s="298"/>
      <c r="M225" s="298"/>
      <c r="N225" s="298" t="s">
        <v>244</v>
      </c>
      <c r="O225" s="194"/>
      <c r="P225" s="271"/>
      <c r="Q225" s="194"/>
      <c r="R225" s="210"/>
      <c r="S225" s="237"/>
      <c r="T225" s="141">
        <v>1</v>
      </c>
      <c r="U225" s="237">
        <f>AF225</f>
        <v>1500000</v>
      </c>
      <c r="V225" s="283"/>
      <c r="W225" s="73" t="s">
        <v>21</v>
      </c>
      <c r="X225" s="73" t="s">
        <v>21</v>
      </c>
      <c r="Y225" s="152" t="s">
        <v>129</v>
      </c>
      <c r="Z225" s="153" t="s">
        <v>26</v>
      </c>
      <c r="AA225" s="153" t="s">
        <v>20</v>
      </c>
      <c r="AB225" s="76">
        <v>1500000</v>
      </c>
      <c r="AC225" s="330"/>
      <c r="AD225" s="330"/>
      <c r="AE225" s="330"/>
      <c r="AF225" s="76">
        <f>SUM(AG225:AO225)</f>
        <v>1500000</v>
      </c>
      <c r="AG225" s="153"/>
      <c r="AH225" s="153"/>
      <c r="AI225" s="153">
        <v>1500000</v>
      </c>
      <c r="AJ225" s="153"/>
      <c r="AK225" s="153"/>
      <c r="AL225" s="153"/>
      <c r="AM225" s="153"/>
      <c r="AN225" s="153"/>
      <c r="AO225" s="153"/>
      <c r="AP225" s="162"/>
    </row>
    <row r="226" spans="1:42" s="13" customFormat="1" ht="217.5" customHeight="1" x14ac:dyDescent="0.45">
      <c r="A226" s="73" t="s">
        <v>298</v>
      </c>
      <c r="B226" s="73" t="s">
        <v>165</v>
      </c>
      <c r="C226" s="74" t="s">
        <v>55</v>
      </c>
      <c r="D226" s="74" t="s">
        <v>167</v>
      </c>
      <c r="E226" s="74" t="s">
        <v>53</v>
      </c>
      <c r="F226" s="74" t="s">
        <v>168</v>
      </c>
      <c r="G226" s="74"/>
      <c r="H226" s="121" t="s">
        <v>178</v>
      </c>
      <c r="I226" s="121" t="s">
        <v>115</v>
      </c>
      <c r="J226" s="194"/>
      <c r="K226" s="287" t="s">
        <v>203</v>
      </c>
      <c r="L226" s="298"/>
      <c r="M226" s="298"/>
      <c r="N226" s="298" t="s">
        <v>244</v>
      </c>
      <c r="O226" s="194"/>
      <c r="P226" s="271"/>
      <c r="Q226" s="194"/>
      <c r="R226" s="210"/>
      <c r="S226" s="237"/>
      <c r="T226" s="141">
        <v>1</v>
      </c>
      <c r="U226" s="237">
        <f>AF226</f>
        <v>1500000</v>
      </c>
      <c r="V226" s="283"/>
      <c r="W226" s="73" t="s">
        <v>21</v>
      </c>
      <c r="X226" s="73" t="s">
        <v>21</v>
      </c>
      <c r="Y226" s="152" t="s">
        <v>255</v>
      </c>
      <c r="Z226" s="153" t="s">
        <v>26</v>
      </c>
      <c r="AA226" s="153" t="s">
        <v>20</v>
      </c>
      <c r="AB226" s="76">
        <v>1500000</v>
      </c>
      <c r="AC226" s="330"/>
      <c r="AD226" s="330"/>
      <c r="AE226" s="330"/>
      <c r="AF226" s="76">
        <f>SUM(AG226:AO226)</f>
        <v>1500000</v>
      </c>
      <c r="AG226" s="153"/>
      <c r="AH226" s="153"/>
      <c r="AI226" s="153">
        <v>1500000</v>
      </c>
      <c r="AJ226" s="153"/>
      <c r="AK226" s="153"/>
      <c r="AL226" s="153"/>
      <c r="AM226" s="153"/>
      <c r="AN226" s="153"/>
      <c r="AO226" s="153"/>
      <c r="AP226" s="162"/>
    </row>
    <row r="227" spans="1:42" s="13" customFormat="1" ht="217.5" customHeight="1" x14ac:dyDescent="0.45">
      <c r="A227" s="73" t="s">
        <v>423</v>
      </c>
      <c r="B227" s="73" t="s">
        <v>165</v>
      </c>
      <c r="C227" s="74" t="s">
        <v>55</v>
      </c>
      <c r="D227" s="74" t="s">
        <v>167</v>
      </c>
      <c r="E227" s="74" t="s">
        <v>53</v>
      </c>
      <c r="F227" s="74" t="s">
        <v>168</v>
      </c>
      <c r="G227" s="74"/>
      <c r="H227" s="121" t="s">
        <v>427</v>
      </c>
      <c r="I227" s="121" t="s">
        <v>428</v>
      </c>
      <c r="J227" s="194"/>
      <c r="K227" s="287" t="s">
        <v>203</v>
      </c>
      <c r="L227" s="298"/>
      <c r="M227" s="298"/>
      <c r="N227" s="298" t="s">
        <v>244</v>
      </c>
      <c r="O227" s="194"/>
      <c r="P227" s="271"/>
      <c r="Q227" s="194"/>
      <c r="R227" s="210"/>
      <c r="S227" s="237"/>
      <c r="T227" s="141">
        <v>1</v>
      </c>
      <c r="U227" s="237">
        <f>AF227</f>
        <v>400000</v>
      </c>
      <c r="V227" s="283"/>
      <c r="W227" s="73" t="s">
        <v>21</v>
      </c>
      <c r="X227" s="73" t="s">
        <v>21</v>
      </c>
      <c r="Y227" s="152" t="s">
        <v>57</v>
      </c>
      <c r="Z227" s="153"/>
      <c r="AA227" s="153" t="s">
        <v>20</v>
      </c>
      <c r="AB227" s="76">
        <v>0</v>
      </c>
      <c r="AC227" s="330"/>
      <c r="AD227" s="330"/>
      <c r="AE227" s="330">
        <v>400000</v>
      </c>
      <c r="AF227" s="76">
        <f>SUM(AG227:AO227)</f>
        <v>400000</v>
      </c>
      <c r="AG227" s="153"/>
      <c r="AH227" s="153"/>
      <c r="AI227" s="153">
        <v>400000</v>
      </c>
      <c r="AJ227" s="153"/>
      <c r="AK227" s="153"/>
      <c r="AL227" s="153"/>
      <c r="AM227" s="153"/>
      <c r="AN227" s="153"/>
      <c r="AO227" s="153"/>
      <c r="AP227" s="162"/>
    </row>
    <row r="228" spans="1:42" s="13" customFormat="1" ht="217.5" customHeight="1" x14ac:dyDescent="0.45">
      <c r="A228" s="73" t="s">
        <v>424</v>
      </c>
      <c r="B228" s="73" t="s">
        <v>165</v>
      </c>
      <c r="C228" s="74" t="s">
        <v>425</v>
      </c>
      <c r="D228" s="74" t="s">
        <v>426</v>
      </c>
      <c r="E228" s="74" t="s">
        <v>53</v>
      </c>
      <c r="F228" s="74" t="s">
        <v>168</v>
      </c>
      <c r="G228" s="74"/>
      <c r="H228" s="121" t="s">
        <v>429</v>
      </c>
      <c r="I228" s="121" t="s">
        <v>43</v>
      </c>
      <c r="J228" s="194"/>
      <c r="K228" s="287" t="s">
        <v>203</v>
      </c>
      <c r="L228" s="298"/>
      <c r="M228" s="298"/>
      <c r="N228" s="298" t="s">
        <v>244</v>
      </c>
      <c r="O228" s="194"/>
      <c r="P228" s="271"/>
      <c r="Q228" s="194"/>
      <c r="R228" s="210"/>
      <c r="S228" s="237"/>
      <c r="T228" s="141">
        <v>1</v>
      </c>
      <c r="U228" s="237">
        <f>AF228</f>
        <v>200000</v>
      </c>
      <c r="V228" s="283"/>
      <c r="W228" s="73" t="s">
        <v>21</v>
      </c>
      <c r="X228" s="73" t="s">
        <v>21</v>
      </c>
      <c r="Y228" s="152" t="s">
        <v>57</v>
      </c>
      <c r="Z228" s="153"/>
      <c r="AA228" s="153" t="s">
        <v>20</v>
      </c>
      <c r="AB228" s="76">
        <v>0</v>
      </c>
      <c r="AC228" s="330"/>
      <c r="AD228" s="330"/>
      <c r="AE228" s="330">
        <v>200000</v>
      </c>
      <c r="AF228" s="76">
        <f>SUM(AG228:AO228)</f>
        <v>200000</v>
      </c>
      <c r="AG228" s="153"/>
      <c r="AH228" s="153"/>
      <c r="AI228" s="153">
        <v>200000</v>
      </c>
      <c r="AJ228" s="153"/>
      <c r="AK228" s="153"/>
      <c r="AL228" s="153"/>
      <c r="AM228" s="153"/>
      <c r="AN228" s="153"/>
      <c r="AO228" s="153"/>
      <c r="AP228" s="162"/>
    </row>
    <row r="229" spans="1:42" s="13" customFormat="1" ht="63" customHeight="1" x14ac:dyDescent="0.55000000000000004">
      <c r="A229" s="14"/>
      <c r="B229" s="14"/>
      <c r="C229" s="14"/>
      <c r="D229" s="14"/>
      <c r="E229" s="14"/>
      <c r="F229" s="14"/>
      <c r="G229" s="14"/>
      <c r="H229" s="14"/>
      <c r="I229" s="15"/>
      <c r="K229" s="288"/>
      <c r="L229" s="299"/>
      <c r="M229" s="299"/>
      <c r="N229" s="299"/>
      <c r="O229" s="288"/>
      <c r="P229" s="151">
        <f>SUM(P225:P226)</f>
        <v>0</v>
      </c>
      <c r="Q229" s="202"/>
      <c r="R229" s="151">
        <f>SUM(R225:R226)</f>
        <v>0</v>
      </c>
      <c r="S229" s="238">
        <f>SUM(S225:S226)</f>
        <v>0</v>
      </c>
      <c r="T229" s="151">
        <f>SUM(T225:T226)</f>
        <v>2</v>
      </c>
      <c r="U229" s="238">
        <f>SUM(U225:U226)</f>
        <v>3000000</v>
      </c>
      <c r="V229" s="207"/>
      <c r="W229" s="201"/>
      <c r="X229" s="201"/>
      <c r="Y229" s="208"/>
      <c r="Z229" s="201"/>
      <c r="AA229" s="15"/>
      <c r="AB229" s="242">
        <f>SUM(AB225:AB228)</f>
        <v>3000000</v>
      </c>
      <c r="AC229" s="242">
        <f t="shared" ref="AC229:AO229" si="128">SUM(AC225:AC228)</f>
        <v>0</v>
      </c>
      <c r="AD229" s="242">
        <f t="shared" si="128"/>
        <v>0</v>
      </c>
      <c r="AE229" s="242">
        <f t="shared" si="128"/>
        <v>600000</v>
      </c>
      <c r="AF229" s="242">
        <f t="shared" si="128"/>
        <v>3600000</v>
      </c>
      <c r="AG229" s="242">
        <f t="shared" si="128"/>
        <v>0</v>
      </c>
      <c r="AH229" s="242">
        <f t="shared" si="128"/>
        <v>0</v>
      </c>
      <c r="AI229" s="242">
        <f t="shared" si="128"/>
        <v>3600000</v>
      </c>
      <c r="AJ229" s="242">
        <f t="shared" si="128"/>
        <v>0</v>
      </c>
      <c r="AK229" s="242">
        <f t="shared" si="128"/>
        <v>0</v>
      </c>
      <c r="AL229" s="242">
        <f t="shared" si="128"/>
        <v>0</v>
      </c>
      <c r="AM229" s="242">
        <f t="shared" si="128"/>
        <v>0</v>
      </c>
      <c r="AN229" s="242">
        <f t="shared" si="128"/>
        <v>0</v>
      </c>
      <c r="AO229" s="242">
        <f t="shared" si="128"/>
        <v>0</v>
      </c>
      <c r="AP229" s="294">
        <f>SUM(AP226)</f>
        <v>0</v>
      </c>
    </row>
    <row r="230" spans="1:42" s="92" customFormat="1" x14ac:dyDescent="0.55000000000000004">
      <c r="A230" s="169"/>
      <c r="B230" s="170"/>
      <c r="C230" s="170"/>
      <c r="D230" s="170"/>
      <c r="E230" s="170"/>
      <c r="F230" s="170"/>
      <c r="G230" s="170"/>
      <c r="H230" s="14"/>
      <c r="I230" s="171"/>
      <c r="J230" s="185"/>
      <c r="K230" s="185"/>
      <c r="L230" s="300"/>
      <c r="M230" s="300"/>
      <c r="N230" s="300"/>
      <c r="O230" s="185"/>
      <c r="P230" s="171"/>
      <c r="Q230" s="185"/>
      <c r="R230" s="218"/>
      <c r="S230" s="171"/>
      <c r="T230" s="218"/>
      <c r="U230" s="171"/>
      <c r="V230" s="185"/>
      <c r="W230" s="14"/>
      <c r="X230" s="14"/>
      <c r="Y230" s="172"/>
      <c r="Z230" s="172"/>
      <c r="AA230" s="172"/>
      <c r="AB230" s="95"/>
      <c r="AC230" s="257"/>
      <c r="AD230" s="257"/>
      <c r="AE230" s="257"/>
      <c r="AF230" s="95"/>
      <c r="AG230" s="95"/>
      <c r="AH230" s="172"/>
      <c r="AI230" s="172"/>
      <c r="AJ230" s="173"/>
      <c r="AK230" s="172"/>
      <c r="AL230" s="172"/>
      <c r="AM230" s="172"/>
      <c r="AN230" s="172"/>
      <c r="AO230" s="172"/>
      <c r="AP230" s="32"/>
    </row>
    <row r="231" spans="1:42" s="99" customFormat="1" ht="43.5" customHeight="1" x14ac:dyDescent="0.2">
      <c r="A231" s="97" t="s">
        <v>70</v>
      </c>
      <c r="B231" s="98"/>
      <c r="C231" s="98"/>
      <c r="D231" s="98"/>
      <c r="E231" s="98"/>
      <c r="F231" s="98"/>
      <c r="G231" s="98"/>
      <c r="H231" s="98"/>
      <c r="J231" s="140"/>
      <c r="K231" s="317"/>
      <c r="L231" s="318"/>
      <c r="M231" s="318"/>
      <c r="N231" s="318"/>
      <c r="O231" s="140"/>
      <c r="P231" s="140"/>
      <c r="Q231" s="140"/>
      <c r="R231" s="140"/>
      <c r="S231" s="236"/>
      <c r="T231" s="140"/>
      <c r="U231" s="236"/>
      <c r="V231" s="140"/>
      <c r="Y231" s="112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</row>
    <row r="232" spans="1:42" s="13" customFormat="1" ht="197.25" customHeight="1" x14ac:dyDescent="0.45">
      <c r="A232" s="73" t="s">
        <v>299</v>
      </c>
      <c r="B232" s="73" t="s">
        <v>74</v>
      </c>
      <c r="C232" s="74" t="s">
        <v>55</v>
      </c>
      <c r="D232" s="74" t="s">
        <v>71</v>
      </c>
      <c r="E232" s="74" t="s">
        <v>53</v>
      </c>
      <c r="F232" s="74" t="s">
        <v>72</v>
      </c>
      <c r="G232" s="74"/>
      <c r="H232" s="121" t="s">
        <v>98</v>
      </c>
      <c r="I232" s="121" t="s">
        <v>73</v>
      </c>
      <c r="J232" s="194"/>
      <c r="K232" s="292" t="s">
        <v>232</v>
      </c>
      <c r="L232" s="313">
        <v>43164</v>
      </c>
      <c r="M232" s="313">
        <v>43171</v>
      </c>
      <c r="N232" s="313" t="s">
        <v>250</v>
      </c>
      <c r="O232" s="194"/>
      <c r="P232" s="271"/>
      <c r="Q232" s="194"/>
      <c r="R232" s="210"/>
      <c r="S232" s="237"/>
      <c r="T232" s="141">
        <v>1</v>
      </c>
      <c r="U232" s="237">
        <f>AF232</f>
        <v>2500000</v>
      </c>
      <c r="V232" s="280"/>
      <c r="W232" s="73" t="s">
        <v>21</v>
      </c>
      <c r="X232" s="73" t="s">
        <v>21</v>
      </c>
      <c r="Y232" s="152" t="s">
        <v>57</v>
      </c>
      <c r="Z232" s="153" t="s">
        <v>26</v>
      </c>
      <c r="AA232" s="153" t="s">
        <v>20</v>
      </c>
      <c r="AB232" s="76">
        <v>2500000</v>
      </c>
      <c r="AC232" s="330"/>
      <c r="AD232" s="330"/>
      <c r="AE232" s="330"/>
      <c r="AF232" s="76">
        <f>SUM(AG232:AO232)</f>
        <v>2500000</v>
      </c>
      <c r="AG232" s="153"/>
      <c r="AH232" s="153"/>
      <c r="AI232" s="153">
        <v>2500000</v>
      </c>
      <c r="AJ232" s="153"/>
      <c r="AK232" s="153"/>
      <c r="AL232" s="153"/>
      <c r="AM232" s="153"/>
      <c r="AN232" s="153"/>
      <c r="AO232" s="153"/>
      <c r="AP232" s="162"/>
    </row>
    <row r="233" spans="1:42" s="13" customFormat="1" ht="362.25" customHeight="1" x14ac:dyDescent="0.45">
      <c r="A233" s="73" t="s">
        <v>300</v>
      </c>
      <c r="B233" s="73" t="s">
        <v>74</v>
      </c>
      <c r="C233" s="74" t="s">
        <v>75</v>
      </c>
      <c r="D233" s="74" t="s">
        <v>149</v>
      </c>
      <c r="E233" s="74" t="s">
        <v>150</v>
      </c>
      <c r="F233" s="74" t="s">
        <v>72</v>
      </c>
      <c r="G233" s="74"/>
      <c r="H233" s="121" t="s">
        <v>151</v>
      </c>
      <c r="I233" s="73" t="s">
        <v>42</v>
      </c>
      <c r="J233" s="194"/>
      <c r="K233" s="287" t="s">
        <v>256</v>
      </c>
      <c r="L233" s="298"/>
      <c r="M233" s="298"/>
      <c r="N233" s="298" t="s">
        <v>244</v>
      </c>
      <c r="O233" s="194"/>
      <c r="P233" s="271"/>
      <c r="Q233" s="194"/>
      <c r="R233" s="141">
        <v>1</v>
      </c>
      <c r="S233" s="237">
        <f>AF233</f>
        <v>2300000</v>
      </c>
      <c r="T233" s="141"/>
      <c r="U233" s="237"/>
      <c r="V233" s="280">
        <v>1</v>
      </c>
      <c r="W233" s="73" t="s">
        <v>21</v>
      </c>
      <c r="X233" s="73" t="s">
        <v>21</v>
      </c>
      <c r="Y233" s="152"/>
      <c r="Z233" s="153"/>
      <c r="AA233" s="153" t="s">
        <v>57</v>
      </c>
      <c r="AB233" s="76">
        <v>2000000</v>
      </c>
      <c r="AC233" s="330"/>
      <c r="AD233" s="330">
        <v>300000</v>
      </c>
      <c r="AE233" s="330"/>
      <c r="AF233" s="76">
        <f>SUM(AG233:AO233)</f>
        <v>2300000</v>
      </c>
      <c r="AG233" s="153"/>
      <c r="AH233" s="75"/>
      <c r="AI233" s="75">
        <f>2000000+300000</f>
        <v>2300000</v>
      </c>
      <c r="AJ233" s="75"/>
      <c r="AK233" s="75"/>
      <c r="AL233" s="75"/>
      <c r="AM233" s="153"/>
      <c r="AN233" s="153"/>
      <c r="AO233" s="153"/>
      <c r="AP233" s="162"/>
    </row>
    <row r="234" spans="1:42" s="13" customFormat="1" ht="63" customHeight="1" x14ac:dyDescent="0.55000000000000004">
      <c r="A234" s="14"/>
      <c r="B234" s="14"/>
      <c r="C234" s="14"/>
      <c r="D234" s="14"/>
      <c r="E234" s="14"/>
      <c r="F234" s="14"/>
      <c r="G234" s="14"/>
      <c r="H234" s="14"/>
      <c r="I234" s="15"/>
      <c r="K234" s="288"/>
      <c r="L234" s="299"/>
      <c r="M234" s="299"/>
      <c r="N234" s="299"/>
      <c r="O234" s="288"/>
      <c r="P234" s="151">
        <f>SUM(P232:P233)</f>
        <v>0</v>
      </c>
      <c r="Q234" s="202"/>
      <c r="R234" s="151">
        <f>SUM(R232:R233)</f>
        <v>1</v>
      </c>
      <c r="S234" s="238">
        <f>SUM(S232:S233)</f>
        <v>2300000</v>
      </c>
      <c r="T234" s="151">
        <f>SUM(T232:T233)</f>
        <v>1</v>
      </c>
      <c r="U234" s="238">
        <f>SUM(U232:U233)</f>
        <v>2500000</v>
      </c>
      <c r="V234" s="207"/>
      <c r="W234" s="201"/>
      <c r="X234" s="201"/>
      <c r="Y234" s="208"/>
      <c r="Z234" s="201"/>
      <c r="AA234" s="15"/>
      <c r="AB234" s="89">
        <f t="shared" ref="AB234:AE234" si="129">SUM(AB232:AB233)</f>
        <v>4500000</v>
      </c>
      <c r="AC234" s="238">
        <f t="shared" si="129"/>
        <v>0</v>
      </c>
      <c r="AD234" s="238">
        <f t="shared" si="129"/>
        <v>300000</v>
      </c>
      <c r="AE234" s="238">
        <f t="shared" si="129"/>
        <v>0</v>
      </c>
      <c r="AF234" s="89">
        <f>SUM(AF232:AF233)</f>
        <v>4800000</v>
      </c>
      <c r="AG234" s="89">
        <f t="shared" ref="AG234:AO234" si="130">SUM(AG232:AG233)</f>
        <v>0</v>
      </c>
      <c r="AH234" s="89">
        <f t="shared" si="130"/>
        <v>0</v>
      </c>
      <c r="AI234" s="89">
        <f t="shared" si="130"/>
        <v>4800000</v>
      </c>
      <c r="AJ234" s="89">
        <f t="shared" si="130"/>
        <v>0</v>
      </c>
      <c r="AK234" s="89">
        <f t="shared" si="130"/>
        <v>0</v>
      </c>
      <c r="AL234" s="89">
        <f t="shared" si="130"/>
        <v>0</v>
      </c>
      <c r="AM234" s="89">
        <f t="shared" si="130"/>
        <v>0</v>
      </c>
      <c r="AN234" s="89">
        <f t="shared" si="130"/>
        <v>0</v>
      </c>
      <c r="AO234" s="89">
        <f t="shared" si="130"/>
        <v>0</v>
      </c>
      <c r="AP234" s="294">
        <f>SUM(AP232)</f>
        <v>0</v>
      </c>
    </row>
    <row r="235" spans="1:42" s="92" customFormat="1" x14ac:dyDescent="0.55000000000000004">
      <c r="A235" s="169"/>
      <c r="B235" s="170"/>
      <c r="C235" s="170"/>
      <c r="D235" s="170"/>
      <c r="E235" s="170"/>
      <c r="F235" s="170"/>
      <c r="G235" s="170"/>
      <c r="H235" s="14"/>
      <c r="I235" s="171"/>
      <c r="J235" s="185"/>
      <c r="K235" s="185"/>
      <c r="L235" s="300"/>
      <c r="M235" s="300"/>
      <c r="N235" s="300"/>
      <c r="O235" s="185"/>
      <c r="P235" s="171"/>
      <c r="Q235" s="185"/>
      <c r="R235" s="218"/>
      <c r="S235" s="171"/>
      <c r="T235" s="218"/>
      <c r="U235" s="171"/>
      <c r="V235" s="185"/>
      <c r="W235" s="14"/>
      <c r="X235" s="14"/>
      <c r="Y235" s="172"/>
      <c r="Z235" s="172"/>
      <c r="AA235" s="172"/>
      <c r="AB235" s="95"/>
      <c r="AC235" s="257"/>
      <c r="AD235" s="257"/>
      <c r="AE235" s="257"/>
      <c r="AF235" s="95"/>
      <c r="AG235" s="95"/>
      <c r="AH235" s="172"/>
      <c r="AI235" s="172"/>
      <c r="AJ235" s="173"/>
      <c r="AK235" s="172"/>
      <c r="AL235" s="172"/>
      <c r="AM235" s="172"/>
      <c r="AN235" s="172"/>
      <c r="AO235" s="172"/>
      <c r="AP235" s="32"/>
    </row>
    <row r="236" spans="1:42" s="99" customFormat="1" ht="43.5" customHeight="1" x14ac:dyDescent="0.2">
      <c r="A236" s="97" t="s">
        <v>131</v>
      </c>
      <c r="B236" s="98"/>
      <c r="C236" s="98"/>
      <c r="D236" s="98"/>
      <c r="E236" s="98"/>
      <c r="F236" s="98"/>
      <c r="G236" s="98"/>
      <c r="H236" s="98"/>
      <c r="J236" s="140"/>
      <c r="K236" s="317"/>
      <c r="L236" s="318"/>
      <c r="M236" s="318"/>
      <c r="N236" s="318"/>
      <c r="O236" s="140"/>
      <c r="P236" s="140"/>
      <c r="Q236" s="140"/>
      <c r="R236" s="140"/>
      <c r="S236" s="236"/>
      <c r="T236" s="140"/>
      <c r="U236" s="236"/>
      <c r="V236" s="140"/>
      <c r="Y236" s="112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</row>
    <row r="237" spans="1:42" s="13" customFormat="1" ht="240" customHeight="1" x14ac:dyDescent="0.45">
      <c r="A237" s="73" t="s">
        <v>301</v>
      </c>
      <c r="B237" s="73" t="s">
        <v>100</v>
      </c>
      <c r="C237" s="74" t="s">
        <v>101</v>
      </c>
      <c r="D237" s="74" t="s">
        <v>102</v>
      </c>
      <c r="E237" s="74" t="s">
        <v>53</v>
      </c>
      <c r="F237" s="74" t="s">
        <v>52</v>
      </c>
      <c r="G237" s="74"/>
      <c r="H237" s="121" t="s">
        <v>254</v>
      </c>
      <c r="I237" s="73" t="s">
        <v>45</v>
      </c>
      <c r="J237" s="194"/>
      <c r="K237" s="141" t="s">
        <v>251</v>
      </c>
      <c r="L237" s="309"/>
      <c r="M237" s="309"/>
      <c r="N237" s="309" t="s">
        <v>246</v>
      </c>
      <c r="O237" s="194"/>
      <c r="P237" s="273">
        <v>8</v>
      </c>
      <c r="Q237" s="194"/>
      <c r="R237" s="141">
        <v>1</v>
      </c>
      <c r="S237" s="237">
        <f>AF237</f>
        <v>1000000</v>
      </c>
      <c r="T237" s="141"/>
      <c r="U237" s="237"/>
      <c r="V237" s="284"/>
      <c r="W237" s="73" t="s">
        <v>44</v>
      </c>
      <c r="X237" s="73" t="s">
        <v>21</v>
      </c>
      <c r="Y237" s="152" t="s">
        <v>57</v>
      </c>
      <c r="Z237" s="153" t="s">
        <v>126</v>
      </c>
      <c r="AA237" s="153" t="s">
        <v>20</v>
      </c>
      <c r="AB237" s="76">
        <v>1000000</v>
      </c>
      <c r="AC237" s="330"/>
      <c r="AD237" s="330"/>
      <c r="AE237" s="330"/>
      <c r="AF237" s="76">
        <f>SUM(AG237:AO237)</f>
        <v>1000000</v>
      </c>
      <c r="AG237" s="153"/>
      <c r="AH237" s="75"/>
      <c r="AI237" s="75">
        <v>1000000</v>
      </c>
      <c r="AJ237" s="75"/>
      <c r="AK237" s="75"/>
      <c r="AL237" s="75"/>
      <c r="AM237" s="153"/>
      <c r="AN237" s="153"/>
      <c r="AO237" s="153"/>
      <c r="AP237" s="162"/>
    </row>
    <row r="238" spans="1:42" s="13" customFormat="1" ht="253.5" customHeight="1" x14ac:dyDescent="0.45">
      <c r="A238" s="73" t="s">
        <v>430</v>
      </c>
      <c r="B238" s="73" t="s">
        <v>113</v>
      </c>
      <c r="C238" s="74" t="s">
        <v>101</v>
      </c>
      <c r="D238" s="74" t="s">
        <v>130</v>
      </c>
      <c r="E238" s="74" t="s">
        <v>432</v>
      </c>
      <c r="F238" s="74" t="s">
        <v>52</v>
      </c>
      <c r="G238" s="74"/>
      <c r="H238" s="121" t="s">
        <v>433</v>
      </c>
      <c r="I238" s="121" t="s">
        <v>434</v>
      </c>
      <c r="J238" s="194"/>
      <c r="K238" s="287" t="s">
        <v>203</v>
      </c>
      <c r="L238" s="298"/>
      <c r="M238" s="298"/>
      <c r="N238" s="298" t="s">
        <v>244</v>
      </c>
      <c r="O238" s="194"/>
      <c r="P238" s="271"/>
      <c r="Q238" s="194"/>
      <c r="R238" s="210"/>
      <c r="S238" s="237"/>
      <c r="T238" s="141">
        <v>1</v>
      </c>
      <c r="U238" s="237">
        <f>AF238</f>
        <v>130000</v>
      </c>
      <c r="V238" s="283"/>
      <c r="W238" s="73" t="s">
        <v>21</v>
      </c>
      <c r="X238" s="73" t="s">
        <v>21</v>
      </c>
      <c r="Y238" s="152" t="s">
        <v>57</v>
      </c>
      <c r="Z238" s="153"/>
      <c r="AA238" s="153" t="s">
        <v>20</v>
      </c>
      <c r="AB238" s="76">
        <v>0</v>
      </c>
      <c r="AC238" s="330"/>
      <c r="AD238" s="330"/>
      <c r="AE238" s="330">
        <v>130000</v>
      </c>
      <c r="AF238" s="76">
        <f>SUM(AG238:AO238)</f>
        <v>130000</v>
      </c>
      <c r="AG238" s="153"/>
      <c r="AH238" s="153"/>
      <c r="AI238" s="153">
        <v>130000</v>
      </c>
      <c r="AJ238" s="153"/>
      <c r="AK238" s="153"/>
      <c r="AL238" s="153"/>
      <c r="AM238" s="153"/>
      <c r="AN238" s="153"/>
      <c r="AO238" s="153"/>
      <c r="AP238" s="162"/>
    </row>
    <row r="239" spans="1:42" s="13" customFormat="1" ht="409.6" customHeight="1" x14ac:dyDescent="0.45">
      <c r="A239" s="73" t="s">
        <v>431</v>
      </c>
      <c r="B239" s="73" t="s">
        <v>100</v>
      </c>
      <c r="C239" s="74" t="s">
        <v>75</v>
      </c>
      <c r="D239" s="74" t="s">
        <v>315</v>
      </c>
      <c r="E239" s="74" t="s">
        <v>53</v>
      </c>
      <c r="F239" s="74" t="s">
        <v>52</v>
      </c>
      <c r="G239" s="74"/>
      <c r="H239" s="121" t="s">
        <v>435</v>
      </c>
      <c r="I239" s="121" t="s">
        <v>42</v>
      </c>
      <c r="J239" s="194"/>
      <c r="K239" s="287" t="s">
        <v>203</v>
      </c>
      <c r="L239" s="298"/>
      <c r="M239" s="298"/>
      <c r="N239" s="298" t="s">
        <v>244</v>
      </c>
      <c r="O239" s="194"/>
      <c r="P239" s="271"/>
      <c r="Q239" s="194"/>
      <c r="R239" s="210"/>
      <c r="S239" s="237"/>
      <c r="T239" s="141">
        <v>1</v>
      </c>
      <c r="U239" s="237">
        <f>AF239</f>
        <v>854443.38432000508</v>
      </c>
      <c r="V239" s="283"/>
      <c r="W239" s="73" t="s">
        <v>44</v>
      </c>
      <c r="X239" s="73" t="s">
        <v>21</v>
      </c>
      <c r="Y239" s="152" t="s">
        <v>436</v>
      </c>
      <c r="Z239" s="153"/>
      <c r="AA239" s="153" t="s">
        <v>20</v>
      </c>
      <c r="AB239" s="76">
        <v>0</v>
      </c>
      <c r="AC239" s="330"/>
      <c r="AD239" s="330"/>
      <c r="AE239" s="330">
        <v>854443.38432000508</v>
      </c>
      <c r="AF239" s="76">
        <f>SUM(AG239:AO239)</f>
        <v>854443.38432000508</v>
      </c>
      <c r="AG239" s="153"/>
      <c r="AH239" s="153"/>
      <c r="AI239" s="153">
        <v>458742.48432000499</v>
      </c>
      <c r="AJ239" s="153">
        <f>369813.12+25887.78</f>
        <v>395700.9</v>
      </c>
      <c r="AK239" s="153"/>
      <c r="AL239" s="153"/>
      <c r="AM239" s="153"/>
      <c r="AN239" s="153"/>
      <c r="AO239" s="153"/>
      <c r="AP239" s="162"/>
    </row>
    <row r="240" spans="1:42" s="13" customFormat="1" ht="63" customHeight="1" x14ac:dyDescent="0.55000000000000004">
      <c r="A240" s="14"/>
      <c r="B240" s="14"/>
      <c r="C240" s="259"/>
      <c r="D240" s="14"/>
      <c r="E240" s="14"/>
      <c r="F240" s="14"/>
      <c r="G240" s="14"/>
      <c r="H240" s="31"/>
      <c r="I240" s="15"/>
      <c r="K240" s="288"/>
      <c r="L240" s="299"/>
      <c r="M240" s="299"/>
      <c r="N240" s="299"/>
      <c r="O240" s="288"/>
      <c r="P240" s="315">
        <f>SUM(P237:P237)</f>
        <v>8</v>
      </c>
      <c r="Q240" s="202"/>
      <c r="R240" s="151">
        <f>SUM(R237:R237)</f>
        <v>1</v>
      </c>
      <c r="S240" s="238">
        <f>SUM(S237:S237)</f>
        <v>1000000</v>
      </c>
      <c r="T240" s="151">
        <f>SUM(T237:T237)</f>
        <v>0</v>
      </c>
      <c r="U240" s="238">
        <f>SUM(U237:U237)</f>
        <v>0</v>
      </c>
      <c r="V240" s="207"/>
      <c r="W240" s="201"/>
      <c r="X240" s="15"/>
      <c r="Y240" s="14"/>
      <c r="Z240" s="15"/>
      <c r="AA240" s="15"/>
      <c r="AB240" s="89">
        <f>SUM(AB237:AB239)</f>
        <v>1000000</v>
      </c>
      <c r="AC240" s="89">
        <f t="shared" ref="AC240:AO240" si="131">SUM(AC237:AC239)</f>
        <v>0</v>
      </c>
      <c r="AD240" s="89">
        <f t="shared" si="131"/>
        <v>0</v>
      </c>
      <c r="AE240" s="89">
        <f t="shared" si="131"/>
        <v>984443.38432000508</v>
      </c>
      <c r="AF240" s="89">
        <f t="shared" si="131"/>
        <v>1984443.3843200051</v>
      </c>
      <c r="AG240" s="89">
        <f t="shared" si="131"/>
        <v>0</v>
      </c>
      <c r="AH240" s="89">
        <f t="shared" si="131"/>
        <v>0</v>
      </c>
      <c r="AI240" s="89">
        <f t="shared" si="131"/>
        <v>1588742.4843200049</v>
      </c>
      <c r="AJ240" s="89">
        <f t="shared" si="131"/>
        <v>395700.9</v>
      </c>
      <c r="AK240" s="89">
        <f t="shared" si="131"/>
        <v>0</v>
      </c>
      <c r="AL240" s="89">
        <f t="shared" si="131"/>
        <v>0</v>
      </c>
      <c r="AM240" s="89">
        <f t="shared" si="131"/>
        <v>0</v>
      </c>
      <c r="AN240" s="89">
        <f t="shared" si="131"/>
        <v>0</v>
      </c>
      <c r="AO240" s="89">
        <f t="shared" si="131"/>
        <v>0</v>
      </c>
      <c r="AP240" s="294" t="e">
        <f>SUM(#REF!)</f>
        <v>#REF!</v>
      </c>
    </row>
    <row r="241" spans="1:42" s="92" customFormat="1" x14ac:dyDescent="0.55000000000000004">
      <c r="A241" s="169"/>
      <c r="B241" s="170"/>
      <c r="C241" s="170"/>
      <c r="D241" s="170"/>
      <c r="E241" s="170"/>
      <c r="F241" s="170"/>
      <c r="G241" s="170"/>
      <c r="H241" s="31"/>
      <c r="I241" s="171"/>
      <c r="J241" s="185"/>
      <c r="K241" s="185"/>
      <c r="L241" s="300"/>
      <c r="M241" s="300"/>
      <c r="N241" s="300"/>
      <c r="O241" s="185"/>
      <c r="P241" s="171"/>
      <c r="Q241" s="185"/>
      <c r="R241" s="218"/>
      <c r="S241" s="171"/>
      <c r="T241" s="218"/>
      <c r="U241" s="171"/>
      <c r="V241" s="185"/>
      <c r="W241" s="14"/>
      <c r="X241" s="14"/>
      <c r="Y241" s="172"/>
      <c r="Z241" s="172"/>
      <c r="AA241" s="172"/>
      <c r="AC241" s="257"/>
      <c r="AD241" s="257"/>
      <c r="AE241" s="257"/>
      <c r="AF241" s="95"/>
      <c r="AG241" s="95"/>
      <c r="AH241" s="172"/>
      <c r="AI241" s="172"/>
      <c r="AJ241" s="173"/>
      <c r="AK241" s="172"/>
      <c r="AL241" s="172"/>
      <c r="AM241" s="172"/>
      <c r="AN241" s="172"/>
      <c r="AO241" s="172"/>
      <c r="AP241" s="32"/>
    </row>
    <row r="242" spans="1:42" s="96" customFormat="1" ht="43.5" customHeight="1" x14ac:dyDescent="0.2">
      <c r="A242" s="92"/>
      <c r="B242" s="91"/>
      <c r="C242" s="91"/>
      <c r="D242" s="91"/>
      <c r="E242" s="91"/>
      <c r="F242" s="91"/>
      <c r="G242" s="91"/>
      <c r="H242" s="91"/>
      <c r="I242" s="92"/>
      <c r="J242" s="143"/>
      <c r="K242" s="143"/>
      <c r="L242" s="303"/>
      <c r="M242" s="303"/>
      <c r="N242" s="303"/>
      <c r="O242" s="143"/>
      <c r="P242" s="143"/>
      <c r="Q242" s="143"/>
      <c r="R242" s="143"/>
      <c r="S242" s="240"/>
      <c r="T242" s="143"/>
      <c r="U242" s="240"/>
      <c r="V242" s="143"/>
      <c r="W242" s="92"/>
      <c r="X242" s="92"/>
      <c r="Y242" s="116"/>
      <c r="Z242" s="102"/>
      <c r="AA242" s="102"/>
      <c r="AC242" s="331"/>
      <c r="AD242" s="331"/>
      <c r="AE242" s="331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</row>
    <row r="243" spans="1:42" s="13" customFormat="1" ht="154.5" customHeight="1" x14ac:dyDescent="0.45">
      <c r="A243" s="73" t="s">
        <v>302</v>
      </c>
      <c r="B243" s="73"/>
      <c r="C243" s="74"/>
      <c r="D243" s="74"/>
      <c r="E243" s="74"/>
      <c r="F243" s="74"/>
      <c r="G243" s="74"/>
      <c r="H243" s="121" t="s">
        <v>56</v>
      </c>
      <c r="I243" s="73" t="s">
        <v>29</v>
      </c>
      <c r="J243" s="194"/>
      <c r="K243" s="141"/>
      <c r="L243" s="309"/>
      <c r="M243" s="309"/>
      <c r="N243" s="309"/>
      <c r="O243" s="194"/>
      <c r="P243" s="386"/>
      <c r="Q243" s="194"/>
      <c r="R243" s="210">
        <v>0.5</v>
      </c>
      <c r="S243" s="237">
        <f>AF243/2</f>
        <v>0</v>
      </c>
      <c r="T243" s="210">
        <v>0.5</v>
      </c>
      <c r="U243" s="237">
        <f>AF243/2</f>
        <v>0</v>
      </c>
      <c r="V243" s="194"/>
      <c r="W243" s="74"/>
      <c r="X243" s="74"/>
      <c r="Y243" s="74"/>
      <c r="Z243" s="74"/>
      <c r="AA243" s="153" t="s">
        <v>20</v>
      </c>
      <c r="AB243" s="76">
        <v>4156543.2743199989</v>
      </c>
      <c r="AC243" s="330">
        <f>300000+4188742.48432</f>
        <v>4488742.4843199998</v>
      </c>
      <c r="AD243" s="330">
        <f>135099.2+91140.3899999997+7374.24000000068+98585.38</f>
        <v>332199.21000000043</v>
      </c>
      <c r="AE243" s="330"/>
      <c r="AF243" s="76">
        <f>SUM(AG243:AO243)</f>
        <v>0</v>
      </c>
      <c r="AG243" s="153"/>
      <c r="AH243" s="153"/>
      <c r="AI243" s="153">
        <f>4156543.27432+135099.2+91140.3899999997+7374.24000000068-300000+98585.38-4188742.48432</f>
        <v>0</v>
      </c>
      <c r="AJ243" s="153"/>
      <c r="AK243" s="153"/>
      <c r="AL243" s="153"/>
      <c r="AM243" s="153"/>
      <c r="AN243" s="153"/>
      <c r="AO243" s="153"/>
      <c r="AP243" s="162"/>
    </row>
    <row r="244" spans="1:42" s="13" customFormat="1" ht="63" customHeight="1" x14ac:dyDescent="0.55000000000000004">
      <c r="A244" s="14"/>
      <c r="B244" s="14"/>
      <c r="C244" s="14"/>
      <c r="D244" s="14"/>
      <c r="E244" s="14"/>
      <c r="F244" s="14"/>
      <c r="G244" s="14"/>
      <c r="H244" s="31"/>
      <c r="I244" s="15"/>
      <c r="K244" s="288"/>
      <c r="L244" s="299"/>
      <c r="M244" s="299"/>
      <c r="N244" s="299"/>
      <c r="O244" s="288"/>
      <c r="P244" s="315">
        <f>SUM(P243)</f>
        <v>0</v>
      </c>
      <c r="Q244" s="202"/>
      <c r="R244" s="151">
        <f>SUM(R243)</f>
        <v>0.5</v>
      </c>
      <c r="S244" s="238">
        <f>SUM(S243)</f>
        <v>0</v>
      </c>
      <c r="T244" s="151">
        <f>SUM(T243)</f>
        <v>0.5</v>
      </c>
      <c r="U244" s="238">
        <f t="shared" ref="U244" si="132">SUM(U243)</f>
        <v>0</v>
      </c>
      <c r="V244" s="207"/>
      <c r="W244" s="201"/>
      <c r="X244" s="201"/>
      <c r="Y244" s="208"/>
      <c r="Z244" s="201"/>
      <c r="AA244" s="15"/>
      <c r="AB244" s="89">
        <f t="shared" ref="AB244:AE244" si="133">SUM(AB243)</f>
        <v>4156543.2743199989</v>
      </c>
      <c r="AC244" s="238">
        <f t="shared" si="133"/>
        <v>4488742.4843199998</v>
      </c>
      <c r="AD244" s="238">
        <f t="shared" si="133"/>
        <v>332199.21000000043</v>
      </c>
      <c r="AE244" s="238">
        <f t="shared" si="133"/>
        <v>0</v>
      </c>
      <c r="AF244" s="89">
        <f>SUM(AF243)</f>
        <v>0</v>
      </c>
      <c r="AG244" s="89">
        <f t="shared" ref="AG244:AO244" si="134">SUM(AG243)</f>
        <v>0</v>
      </c>
      <c r="AH244" s="89">
        <f t="shared" si="134"/>
        <v>0</v>
      </c>
      <c r="AI244" s="89">
        <f t="shared" si="134"/>
        <v>0</v>
      </c>
      <c r="AJ244" s="89">
        <f t="shared" si="134"/>
        <v>0</v>
      </c>
      <c r="AK244" s="89">
        <f t="shared" si="134"/>
        <v>0</v>
      </c>
      <c r="AL244" s="89">
        <f t="shared" si="134"/>
        <v>0</v>
      </c>
      <c r="AM244" s="89">
        <f t="shared" si="134"/>
        <v>0</v>
      </c>
      <c r="AN244" s="89">
        <f t="shared" si="134"/>
        <v>0</v>
      </c>
      <c r="AO244" s="89">
        <f t="shared" si="134"/>
        <v>0</v>
      </c>
      <c r="AP244" s="294">
        <f t="shared" ref="AP244" si="135">SUM(AP243)</f>
        <v>0</v>
      </c>
    </row>
    <row r="245" spans="1:42" s="92" customFormat="1" x14ac:dyDescent="0.55000000000000004">
      <c r="A245" s="169"/>
      <c r="B245" s="170"/>
      <c r="C245" s="170"/>
      <c r="D245" s="170"/>
      <c r="E245" s="170"/>
      <c r="F245" s="170"/>
      <c r="G245" s="170"/>
      <c r="H245" s="31"/>
      <c r="I245" s="171"/>
      <c r="J245" s="185"/>
      <c r="K245" s="185"/>
      <c r="L245" s="300"/>
      <c r="M245" s="300"/>
      <c r="N245" s="300"/>
      <c r="O245" s="185"/>
      <c r="P245" s="171"/>
      <c r="Q245" s="185"/>
      <c r="R245" s="218"/>
      <c r="S245" s="171"/>
      <c r="T245" s="218"/>
      <c r="U245" s="171"/>
      <c r="V245" s="185"/>
      <c r="W245" s="14"/>
      <c r="X245" s="14"/>
      <c r="Y245" s="172"/>
      <c r="Z245" s="172"/>
      <c r="AA245" s="172"/>
      <c r="AB245" s="95"/>
      <c r="AC245" s="257"/>
      <c r="AD245" s="257"/>
      <c r="AE245" s="257"/>
      <c r="AF245" s="95"/>
      <c r="AG245" s="95"/>
      <c r="AH245" s="172"/>
      <c r="AI245" s="172"/>
      <c r="AJ245" s="173"/>
      <c r="AK245" s="172"/>
      <c r="AL245" s="172"/>
      <c r="AM245" s="172"/>
      <c r="AN245" s="172"/>
      <c r="AO245" s="172"/>
      <c r="AP245" s="32"/>
    </row>
    <row r="246" spans="1:42" s="96" customFormat="1" ht="43.5" customHeight="1" x14ac:dyDescent="0.2">
      <c r="A246" s="97" t="s">
        <v>265</v>
      </c>
      <c r="B246" s="91"/>
      <c r="C246" s="91"/>
      <c r="D246" s="91"/>
      <c r="E246" s="91"/>
      <c r="F246" s="91"/>
      <c r="G246" s="91"/>
      <c r="H246" s="91"/>
      <c r="I246" s="92"/>
      <c r="J246" s="143"/>
      <c r="K246" s="143"/>
      <c r="L246" s="303"/>
      <c r="M246" s="303"/>
      <c r="N246" s="303"/>
      <c r="O246" s="143"/>
      <c r="P246" s="143"/>
      <c r="Q246" s="143"/>
      <c r="R246" s="143"/>
      <c r="S246" s="240"/>
      <c r="T246" s="143"/>
      <c r="U246" s="240"/>
      <c r="V246" s="143"/>
      <c r="W246" s="92"/>
      <c r="X246" s="92"/>
      <c r="Y246" s="116"/>
      <c r="Z246" s="102"/>
      <c r="AA246" s="102"/>
      <c r="AB246" s="102"/>
      <c r="AC246" s="331"/>
      <c r="AD246" s="331"/>
      <c r="AE246" s="331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</row>
    <row r="247" spans="1:42" s="13" customFormat="1" ht="147" customHeight="1" x14ac:dyDescent="0.45">
      <c r="A247" s="73" t="s">
        <v>303</v>
      </c>
      <c r="B247" s="73"/>
      <c r="C247" s="74"/>
      <c r="D247" s="74" t="s">
        <v>20</v>
      </c>
      <c r="E247" s="74" t="s">
        <v>20</v>
      </c>
      <c r="F247" s="74" t="s">
        <v>20</v>
      </c>
      <c r="G247" s="74"/>
      <c r="H247" s="121" t="s">
        <v>58</v>
      </c>
      <c r="I247" s="73" t="s">
        <v>29</v>
      </c>
      <c r="J247" s="194"/>
      <c r="K247" s="141"/>
      <c r="L247" s="309"/>
      <c r="M247" s="309"/>
      <c r="N247" s="309"/>
      <c r="O247" s="194"/>
      <c r="P247" s="279"/>
      <c r="Q247" s="194"/>
      <c r="R247" s="141">
        <v>1</v>
      </c>
      <c r="S247" s="237">
        <f>AF247</f>
        <v>1163690.79</v>
      </c>
      <c r="T247" s="141"/>
      <c r="U247" s="237"/>
      <c r="V247" s="194"/>
      <c r="W247" s="73" t="s">
        <v>21</v>
      </c>
      <c r="X247" s="73" t="s">
        <v>21</v>
      </c>
      <c r="Y247" s="74" t="s">
        <v>20</v>
      </c>
      <c r="Z247" s="74" t="s">
        <v>20</v>
      </c>
      <c r="AA247" s="153" t="s">
        <v>20</v>
      </c>
      <c r="AB247" s="76">
        <v>1163690.79</v>
      </c>
      <c r="AC247" s="330"/>
      <c r="AD247" s="330"/>
      <c r="AE247" s="330"/>
      <c r="AF247" s="76">
        <f>SUM(AG247:AO247)</f>
        <v>1163690.79</v>
      </c>
      <c r="AG247" s="153"/>
      <c r="AH247" s="153"/>
      <c r="AI247" s="153">
        <v>1163690.79</v>
      </c>
      <c r="AJ247" s="153"/>
      <c r="AK247" s="153"/>
      <c r="AL247" s="153"/>
      <c r="AM247" s="153"/>
      <c r="AN247" s="153"/>
      <c r="AO247" s="153"/>
      <c r="AP247" s="162"/>
    </row>
    <row r="248" spans="1:42" s="13" customFormat="1" ht="63" customHeight="1" x14ac:dyDescent="0.55000000000000004">
      <c r="A248" s="14"/>
      <c r="B248" s="14"/>
      <c r="C248" s="14"/>
      <c r="D248" s="14"/>
      <c r="E248" s="14"/>
      <c r="F248" s="14"/>
      <c r="G248" s="14"/>
      <c r="H248" s="14"/>
      <c r="I248" s="15"/>
      <c r="K248" s="288"/>
      <c r="L248" s="299"/>
      <c r="M248" s="299"/>
      <c r="N248" s="299"/>
      <c r="O248" s="288"/>
      <c r="P248" s="315">
        <f>SUM(P247)</f>
        <v>0</v>
      </c>
      <c r="Q248" s="202"/>
      <c r="R248" s="151">
        <f>SUM(R247)</f>
        <v>1</v>
      </c>
      <c r="S248" s="238">
        <f t="shared" ref="S248:U248" si="136">SUM(S247)</f>
        <v>1163690.79</v>
      </c>
      <c r="T248" s="151">
        <f>SUM(T247)</f>
        <v>0</v>
      </c>
      <c r="U248" s="238">
        <f t="shared" si="136"/>
        <v>0</v>
      </c>
      <c r="V248" s="207"/>
      <c r="W248" s="201"/>
      <c r="X248" s="201"/>
      <c r="Y248" s="208"/>
      <c r="Z248" s="201"/>
      <c r="AA248" s="15"/>
      <c r="AB248" s="89">
        <f t="shared" ref="AB248:AE248" si="137">SUM(AB247)</f>
        <v>1163690.79</v>
      </c>
      <c r="AC248" s="238">
        <f t="shared" si="137"/>
        <v>0</v>
      </c>
      <c r="AD248" s="238">
        <f t="shared" si="137"/>
        <v>0</v>
      </c>
      <c r="AE248" s="238">
        <f t="shared" si="137"/>
        <v>0</v>
      </c>
      <c r="AF248" s="89">
        <f>SUM(AF247)</f>
        <v>1163690.79</v>
      </c>
      <c r="AG248" s="115">
        <f t="shared" ref="AG248:AO248" si="138">SUM(AG247)</f>
        <v>0</v>
      </c>
      <c r="AH248" s="115">
        <f t="shared" si="138"/>
        <v>0</v>
      </c>
      <c r="AI248" s="115">
        <f t="shared" si="138"/>
        <v>1163690.79</v>
      </c>
      <c r="AJ248" s="115">
        <f t="shared" si="138"/>
        <v>0</v>
      </c>
      <c r="AK248" s="115">
        <f t="shared" si="138"/>
        <v>0</v>
      </c>
      <c r="AL248" s="115">
        <f t="shared" si="138"/>
        <v>0</v>
      </c>
      <c r="AM248" s="115">
        <f t="shared" si="138"/>
        <v>0</v>
      </c>
      <c r="AN248" s="115">
        <f t="shared" si="138"/>
        <v>0</v>
      </c>
      <c r="AO248" s="115">
        <f t="shared" si="138"/>
        <v>0</v>
      </c>
      <c r="AP248" s="294">
        <f t="shared" ref="AP248" si="139">SUM(AP247)</f>
        <v>0</v>
      </c>
    </row>
    <row r="249" spans="1:42" s="92" customFormat="1" x14ac:dyDescent="0.55000000000000004">
      <c r="A249" s="169"/>
      <c r="B249" s="170"/>
      <c r="C249" s="170"/>
      <c r="D249" s="170"/>
      <c r="E249" s="170"/>
      <c r="F249" s="170"/>
      <c r="G249" s="170"/>
      <c r="H249" s="14"/>
      <c r="I249" s="171"/>
      <c r="J249" s="185"/>
      <c r="K249" s="185"/>
      <c r="L249" s="300"/>
      <c r="M249" s="300"/>
      <c r="N249" s="300"/>
      <c r="O249" s="185"/>
      <c r="P249" s="171"/>
      <c r="Q249" s="185"/>
      <c r="R249" s="218"/>
      <c r="S249" s="171"/>
      <c r="T249" s="218"/>
      <c r="U249" s="171"/>
      <c r="V249" s="185"/>
      <c r="W249" s="14"/>
      <c r="X249" s="14"/>
      <c r="Y249" s="172"/>
      <c r="Z249" s="172"/>
      <c r="AA249" s="172"/>
      <c r="AC249" s="257"/>
      <c r="AD249" s="257"/>
      <c r="AE249" s="257"/>
      <c r="AF249" s="95"/>
      <c r="AG249" s="95"/>
      <c r="AH249" s="172"/>
      <c r="AI249" s="172"/>
      <c r="AJ249" s="173"/>
      <c r="AK249" s="172"/>
      <c r="AL249" s="172"/>
      <c r="AM249" s="172"/>
      <c r="AN249" s="172"/>
      <c r="AO249" s="172"/>
      <c r="AP249" s="32"/>
    </row>
    <row r="250" spans="1:42" s="96" customFormat="1" ht="43.5" customHeight="1" x14ac:dyDescent="0.2">
      <c r="A250" s="97" t="s">
        <v>132</v>
      </c>
      <c r="B250" s="91"/>
      <c r="C250" s="91"/>
      <c r="D250" s="91"/>
      <c r="E250" s="91"/>
      <c r="F250" s="91"/>
      <c r="G250" s="91"/>
      <c r="H250" s="91"/>
      <c r="I250" s="92"/>
      <c r="J250" s="143"/>
      <c r="K250" s="143"/>
      <c r="L250" s="303"/>
      <c r="M250" s="303"/>
      <c r="N250" s="303"/>
      <c r="O250" s="143"/>
      <c r="P250" s="143"/>
      <c r="Q250" s="143"/>
      <c r="R250" s="143"/>
      <c r="S250" s="240"/>
      <c r="T250" s="143"/>
      <c r="U250" s="240"/>
      <c r="V250" s="143"/>
      <c r="W250" s="92"/>
      <c r="X250" s="92"/>
      <c r="Y250" s="116"/>
      <c r="Z250" s="102"/>
      <c r="AA250" s="102"/>
      <c r="AC250" s="331"/>
      <c r="AD250" s="331"/>
      <c r="AE250" s="331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</row>
    <row r="251" spans="1:42" s="13" customFormat="1" ht="218.25" customHeight="1" x14ac:dyDescent="0.45">
      <c r="A251" s="73" t="s">
        <v>304</v>
      </c>
      <c r="B251" s="73"/>
      <c r="C251" s="74"/>
      <c r="D251" s="74" t="s">
        <v>20</v>
      </c>
      <c r="E251" s="74" t="s">
        <v>20</v>
      </c>
      <c r="F251" s="74" t="s">
        <v>20</v>
      </c>
      <c r="G251" s="74"/>
      <c r="H251" s="121" t="s">
        <v>59</v>
      </c>
      <c r="I251" s="73" t="s">
        <v>29</v>
      </c>
      <c r="J251" s="194"/>
      <c r="K251" s="141"/>
      <c r="L251" s="309"/>
      <c r="M251" s="309"/>
      <c r="N251" s="309"/>
      <c r="O251" s="194"/>
      <c r="P251" s="279"/>
      <c r="Q251" s="194"/>
      <c r="R251" s="141">
        <v>1</v>
      </c>
      <c r="S251" s="237">
        <f>AF251</f>
        <v>775793.86</v>
      </c>
      <c r="T251" s="141"/>
      <c r="U251" s="237"/>
      <c r="V251" s="194"/>
      <c r="W251" s="73" t="s">
        <v>21</v>
      </c>
      <c r="X251" s="73" t="s">
        <v>21</v>
      </c>
      <c r="Y251" s="74" t="s">
        <v>20</v>
      </c>
      <c r="Z251" s="74" t="s">
        <v>20</v>
      </c>
      <c r="AA251" s="153" t="s">
        <v>20</v>
      </c>
      <c r="AB251" s="76">
        <v>775793.86</v>
      </c>
      <c r="AC251" s="330"/>
      <c r="AD251" s="330"/>
      <c r="AE251" s="330"/>
      <c r="AF251" s="76">
        <f>SUM(AG251:AO251)</f>
        <v>775793.86</v>
      </c>
      <c r="AG251" s="153"/>
      <c r="AH251" s="153"/>
      <c r="AI251" s="153">
        <v>775793.86</v>
      </c>
      <c r="AJ251" s="153"/>
      <c r="AK251" s="153"/>
      <c r="AL251" s="153"/>
      <c r="AM251" s="153"/>
      <c r="AN251" s="153"/>
      <c r="AO251" s="153"/>
      <c r="AP251" s="162"/>
    </row>
    <row r="252" spans="1:42" s="13" customFormat="1" ht="63" customHeight="1" x14ac:dyDescent="0.55000000000000004">
      <c r="A252" s="14"/>
      <c r="B252" s="14"/>
      <c r="C252" s="14"/>
      <c r="D252" s="14"/>
      <c r="E252" s="14"/>
      <c r="F252" s="14"/>
      <c r="G252" s="14"/>
      <c r="I252" s="15"/>
      <c r="K252" s="288"/>
      <c r="L252" s="299"/>
      <c r="M252" s="299"/>
      <c r="N252" s="299"/>
      <c r="O252" s="288"/>
      <c r="P252" s="315">
        <f>SUM(P251)</f>
        <v>0</v>
      </c>
      <c r="Q252" s="202"/>
      <c r="R252" s="151">
        <f>SUM(R251)</f>
        <v>1</v>
      </c>
      <c r="S252" s="238">
        <f t="shared" ref="S252" si="140">SUM(S251)</f>
        <v>775793.86</v>
      </c>
      <c r="T252" s="151">
        <f>SUM(T251)</f>
        <v>0</v>
      </c>
      <c r="U252" s="238">
        <f t="shared" ref="U252" si="141">SUM(U251)</f>
        <v>0</v>
      </c>
      <c r="V252" s="207"/>
      <c r="W252" s="201"/>
      <c r="X252" s="201"/>
      <c r="Y252" s="208"/>
      <c r="Z252" s="201"/>
      <c r="AA252" s="15"/>
      <c r="AB252" s="89">
        <f t="shared" ref="AB252:AE252" si="142">SUM(AB251)</f>
        <v>775793.86</v>
      </c>
      <c r="AC252" s="238">
        <f t="shared" si="142"/>
        <v>0</v>
      </c>
      <c r="AD252" s="238">
        <f t="shared" si="142"/>
        <v>0</v>
      </c>
      <c r="AE252" s="238">
        <f t="shared" si="142"/>
        <v>0</v>
      </c>
      <c r="AF252" s="89">
        <f>SUM(AF251)</f>
        <v>775793.86</v>
      </c>
      <c r="AG252" s="115">
        <f t="shared" ref="AG252:AP252" si="143">SUM(AG251)</f>
        <v>0</v>
      </c>
      <c r="AH252" s="115">
        <f t="shared" si="143"/>
        <v>0</v>
      </c>
      <c r="AI252" s="115">
        <f t="shared" si="143"/>
        <v>775793.86</v>
      </c>
      <c r="AJ252" s="115">
        <f t="shared" si="143"/>
        <v>0</v>
      </c>
      <c r="AK252" s="115">
        <f t="shared" si="143"/>
        <v>0</v>
      </c>
      <c r="AL252" s="115">
        <f t="shared" si="143"/>
        <v>0</v>
      </c>
      <c r="AM252" s="115">
        <f t="shared" si="143"/>
        <v>0</v>
      </c>
      <c r="AN252" s="115">
        <f t="shared" si="143"/>
        <v>0</v>
      </c>
      <c r="AO252" s="115">
        <f t="shared" si="143"/>
        <v>0</v>
      </c>
      <c r="AP252" s="294">
        <f t="shared" si="143"/>
        <v>0</v>
      </c>
    </row>
    <row r="253" spans="1:42" s="96" customFormat="1" ht="24" customHeight="1" x14ac:dyDescent="0.55000000000000004">
      <c r="A253" s="90"/>
      <c r="B253" s="91"/>
      <c r="C253" s="91"/>
      <c r="D253" s="91"/>
      <c r="E253" s="91"/>
      <c r="F253" s="91"/>
      <c r="G253" s="91"/>
      <c r="H253" s="28"/>
      <c r="I253" s="171"/>
      <c r="J253" s="195"/>
      <c r="K253" s="143"/>
      <c r="L253" s="303"/>
      <c r="M253" s="303"/>
      <c r="N253" s="303"/>
      <c r="O253" s="195"/>
      <c r="P253" s="211"/>
      <c r="Q253" s="195"/>
      <c r="R253" s="211"/>
      <c r="S253" s="91"/>
      <c r="T253" s="211"/>
      <c r="U253" s="91"/>
      <c r="V253" s="143"/>
      <c r="W253" s="92"/>
      <c r="X253" s="92"/>
      <c r="Y253" s="94"/>
      <c r="Z253" s="91"/>
      <c r="AA253" s="92"/>
      <c r="AB253" s="91"/>
      <c r="AC253" s="331"/>
      <c r="AD253" s="331"/>
      <c r="AE253" s="33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120"/>
    </row>
    <row r="254" spans="1:42" s="22" customFormat="1" ht="67.5" customHeight="1" x14ac:dyDescent="0.55000000000000004">
      <c r="A254" s="27"/>
      <c r="B254" s="27"/>
      <c r="C254" s="27"/>
      <c r="D254" s="27"/>
      <c r="E254" s="27"/>
      <c r="F254" s="27"/>
      <c r="G254" s="27"/>
      <c r="H254" s="28"/>
      <c r="I254" s="196"/>
      <c r="J254" s="196"/>
      <c r="K254" s="196"/>
      <c r="L254" s="301"/>
      <c r="M254" s="301"/>
      <c r="N254" s="301"/>
      <c r="O254" s="196"/>
      <c r="P254" s="167">
        <f>P252+P248+P244+P240+P234+P229+P221</f>
        <v>8</v>
      </c>
      <c r="Q254" s="196"/>
      <c r="R254" s="166">
        <f>R252+R248+R244+R240+R234+R229+R221</f>
        <v>5.5</v>
      </c>
      <c r="S254" s="133">
        <f>S252+S248+S244+S240+S234+S229+S221</f>
        <v>5939484.6500000004</v>
      </c>
      <c r="T254" s="166">
        <f>T252+T248+T244+T240+T234+T229+T221</f>
        <v>12.5</v>
      </c>
      <c r="U254" s="133">
        <f>U252+U248+U244+U240+U234+U229+U221</f>
        <v>22050000</v>
      </c>
      <c r="V254" s="196"/>
      <c r="W254" s="337" t="s">
        <v>22</v>
      </c>
      <c r="X254" s="338"/>
      <c r="Y254" s="338"/>
      <c r="Z254" s="338"/>
      <c r="AA254" s="183"/>
      <c r="AB254" s="133">
        <f>AB252+AB248+AB244+AB240+AB234+AB229+AB221</f>
        <v>32846027.924319997</v>
      </c>
      <c r="AC254" s="133">
        <f t="shared" ref="AC254:AE254" si="144">AC252+AC248+AC244+AC240+AC234+AC229+AC221</f>
        <v>16087327.864319999</v>
      </c>
      <c r="AD254" s="133">
        <f t="shared" si="144"/>
        <v>632199.21000000043</v>
      </c>
      <c r="AE254" s="133">
        <f t="shared" si="144"/>
        <v>16183028.764320005</v>
      </c>
      <c r="AF254" s="133">
        <f>AF252+AF248+AF244+AF240+AF234+AF229+AF221</f>
        <v>33573928.034320004</v>
      </c>
      <c r="AG254" s="133">
        <f t="shared" ref="AG254:AO254" si="145">AG252+AG248+AG244+AG240+AG234+AG229+AG221</f>
        <v>0</v>
      </c>
      <c r="AH254" s="133">
        <f t="shared" si="145"/>
        <v>0</v>
      </c>
      <c r="AI254" s="133">
        <f>AI252+AI248+AI244+AI240+AI234+AI229+AI221</f>
        <v>30879641.754320007</v>
      </c>
      <c r="AJ254" s="133">
        <f t="shared" si="145"/>
        <v>2694286.28</v>
      </c>
      <c r="AK254" s="133">
        <f t="shared" si="145"/>
        <v>0</v>
      </c>
      <c r="AL254" s="133">
        <f t="shared" si="145"/>
        <v>0</v>
      </c>
      <c r="AM254" s="133">
        <f t="shared" si="145"/>
        <v>0</v>
      </c>
      <c r="AN254" s="133">
        <f t="shared" si="145"/>
        <v>0</v>
      </c>
      <c r="AO254" s="133">
        <f t="shared" si="145"/>
        <v>0</v>
      </c>
      <c r="AP254" s="295" t="e">
        <f>AP252+AP248+AP244+AP221</f>
        <v>#REF!</v>
      </c>
    </row>
    <row r="255" spans="1:42" s="13" customFormat="1" ht="27" customHeight="1" x14ac:dyDescent="0.55000000000000004">
      <c r="A255" s="16"/>
      <c r="B255" s="17"/>
      <c r="C255" s="17"/>
      <c r="D255" s="17"/>
      <c r="E255" s="17"/>
      <c r="F255" s="17"/>
      <c r="G255" s="17"/>
      <c r="H255" s="28"/>
      <c r="I255" s="19"/>
      <c r="J255" s="195"/>
      <c r="K255" s="195"/>
      <c r="L255" s="300"/>
      <c r="M255" s="300"/>
      <c r="N255" s="300"/>
      <c r="O255" s="195"/>
      <c r="P255" s="142"/>
      <c r="Q255" s="195"/>
      <c r="R255" s="142"/>
      <c r="S255" s="239"/>
      <c r="T255" s="142"/>
      <c r="U255" s="239"/>
      <c r="V255" s="195"/>
      <c r="W255" s="18"/>
      <c r="X255" s="18"/>
      <c r="Y255" s="63"/>
      <c r="Z255" s="22"/>
      <c r="AA255" s="22"/>
      <c r="AC255" s="20"/>
      <c r="AD255" s="20"/>
      <c r="AE255" s="20"/>
      <c r="AF255" s="20"/>
      <c r="AG255" s="20"/>
      <c r="AH255" s="20"/>
      <c r="AI255" s="20"/>
      <c r="AJ255" s="20"/>
      <c r="AK255" s="22"/>
      <c r="AL255" s="22"/>
      <c r="AM255" s="22"/>
      <c r="AN255" s="20"/>
      <c r="AO255" s="20"/>
      <c r="AP255" s="32"/>
    </row>
    <row r="256" spans="1:42" s="96" customFormat="1" x14ac:dyDescent="0.55000000000000004">
      <c r="A256" s="16"/>
      <c r="B256" s="17"/>
      <c r="C256" s="17"/>
      <c r="D256" s="17"/>
      <c r="E256" s="17"/>
      <c r="F256" s="17"/>
      <c r="G256" s="17"/>
      <c r="H256" s="28"/>
      <c r="I256" s="19"/>
      <c r="J256" s="195"/>
      <c r="K256" s="195"/>
      <c r="L256" s="300"/>
      <c r="M256" s="300"/>
      <c r="N256" s="300"/>
      <c r="O256" s="195"/>
      <c r="P256" s="142"/>
      <c r="Q256" s="195"/>
      <c r="R256" s="142"/>
      <c r="S256" s="239"/>
      <c r="T256" s="142"/>
      <c r="U256" s="239"/>
      <c r="V256" s="195"/>
      <c r="W256" s="23"/>
      <c r="X256" s="18"/>
      <c r="Y256" s="114"/>
      <c r="Z256" s="92"/>
      <c r="AA256" s="92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4"/>
      <c r="AN256" s="103"/>
      <c r="AO256" s="20"/>
      <c r="AP256" s="32"/>
    </row>
    <row r="257" spans="1:42" s="85" customFormat="1" ht="43.5" customHeight="1" x14ac:dyDescent="0.2">
      <c r="A257" s="85" t="s">
        <v>209</v>
      </c>
      <c r="B257" s="86"/>
      <c r="C257" s="86"/>
      <c r="D257" s="86"/>
      <c r="E257" s="86"/>
      <c r="F257" s="86"/>
      <c r="G257" s="86"/>
      <c r="H257" s="86"/>
      <c r="J257" s="145"/>
      <c r="K257" s="321"/>
      <c r="L257" s="320"/>
      <c r="M257" s="320"/>
      <c r="N257" s="320"/>
      <c r="O257" s="145"/>
      <c r="P257" s="145"/>
      <c r="Q257" s="145"/>
      <c r="R257" s="145"/>
      <c r="S257" s="241"/>
      <c r="T257" s="145"/>
      <c r="U257" s="241"/>
      <c r="V257" s="145"/>
      <c r="Y257" s="87"/>
      <c r="Z257" s="87"/>
      <c r="AA257" s="87"/>
      <c r="AC257" s="333"/>
      <c r="AD257" s="333"/>
      <c r="AE257" s="333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</row>
    <row r="258" spans="1:42" s="13" customFormat="1" ht="228" customHeight="1" x14ac:dyDescent="0.45">
      <c r="A258" s="73" t="s">
        <v>305</v>
      </c>
      <c r="B258" s="73" t="s">
        <v>210</v>
      </c>
      <c r="C258" s="74" t="s">
        <v>101</v>
      </c>
      <c r="D258" s="74" t="s">
        <v>20</v>
      </c>
      <c r="E258" s="74" t="s">
        <v>20</v>
      </c>
      <c r="F258" s="74" t="s">
        <v>20</v>
      </c>
      <c r="G258" s="74"/>
      <c r="H258" s="121" t="s">
        <v>211</v>
      </c>
      <c r="I258" s="73" t="s">
        <v>45</v>
      </c>
      <c r="J258" s="194"/>
      <c r="K258" s="141"/>
      <c r="L258" s="309"/>
      <c r="M258" s="309"/>
      <c r="N258" s="309"/>
      <c r="O258" s="194"/>
      <c r="P258" s="141"/>
      <c r="Q258" s="194"/>
      <c r="R258" s="141"/>
      <c r="S258" s="237"/>
      <c r="T258" s="141">
        <v>1</v>
      </c>
      <c r="U258" s="237">
        <f>AF258</f>
        <v>15000000</v>
      </c>
      <c r="V258" s="325"/>
      <c r="W258" s="152" t="s">
        <v>21</v>
      </c>
      <c r="X258" s="152" t="s">
        <v>21</v>
      </c>
      <c r="Y258" s="152" t="s">
        <v>20</v>
      </c>
      <c r="Z258" s="152" t="s">
        <v>20</v>
      </c>
      <c r="AA258" s="153" t="s">
        <v>20</v>
      </c>
      <c r="AB258" s="76">
        <v>15000000</v>
      </c>
      <c r="AC258" s="330"/>
      <c r="AD258" s="330"/>
      <c r="AE258" s="330"/>
      <c r="AF258" s="76">
        <f>SUM(AG258:AO258)</f>
        <v>15000000</v>
      </c>
      <c r="AG258" s="153"/>
      <c r="AH258" s="75"/>
      <c r="AI258" s="75"/>
      <c r="AJ258" s="75"/>
      <c r="AK258" s="75"/>
      <c r="AL258" s="75"/>
      <c r="AM258" s="153">
        <v>10000000</v>
      </c>
      <c r="AN258" s="153">
        <v>5000000</v>
      </c>
      <c r="AO258" s="153"/>
      <c r="AP258" s="162"/>
    </row>
    <row r="259" spans="1:42" s="13" customFormat="1" ht="63" customHeight="1" x14ac:dyDescent="0.55000000000000004">
      <c r="A259" s="14"/>
      <c r="B259" s="14"/>
      <c r="C259" s="14"/>
      <c r="D259" s="14"/>
      <c r="E259" s="14"/>
      <c r="F259" s="14"/>
      <c r="G259" s="14"/>
      <c r="I259" s="15"/>
      <c r="K259" s="288"/>
      <c r="L259" s="299"/>
      <c r="M259" s="299"/>
      <c r="N259" s="299"/>
      <c r="O259" s="288"/>
      <c r="P259" s="315">
        <f>SUM(P258:P258)</f>
        <v>0</v>
      </c>
      <c r="Q259" s="202"/>
      <c r="R259" s="151">
        <f>SUM(R258:R258)</f>
        <v>0</v>
      </c>
      <c r="S259" s="238">
        <f>SUM(S258:S258)</f>
        <v>0</v>
      </c>
      <c r="T259" s="151">
        <f>SUM(T258:T258)</f>
        <v>1</v>
      </c>
      <c r="U259" s="238">
        <f>SUM(U258:U258)</f>
        <v>15000000</v>
      </c>
      <c r="V259" s="207"/>
      <c r="W259" s="201"/>
      <c r="X259" s="201"/>
      <c r="Y259" s="208"/>
      <c r="Z259" s="201"/>
      <c r="AA259" s="15"/>
      <c r="AB259" s="89">
        <f t="shared" ref="AB259:AE259" si="146">SUM(AB258:AB258)</f>
        <v>15000000</v>
      </c>
      <c r="AC259" s="238">
        <f t="shared" si="146"/>
        <v>0</v>
      </c>
      <c r="AD259" s="238">
        <f t="shared" si="146"/>
        <v>0</v>
      </c>
      <c r="AE259" s="238">
        <f t="shared" si="146"/>
        <v>0</v>
      </c>
      <c r="AF259" s="89">
        <f>SUM(AF258:AF258)</f>
        <v>15000000</v>
      </c>
      <c r="AG259" s="89">
        <f t="shared" ref="AG259:AP259" si="147">SUM(AG258:AG258)</f>
        <v>0</v>
      </c>
      <c r="AH259" s="89">
        <f t="shared" si="147"/>
        <v>0</v>
      </c>
      <c r="AI259" s="89">
        <f t="shared" si="147"/>
        <v>0</v>
      </c>
      <c r="AJ259" s="89">
        <f t="shared" si="147"/>
        <v>0</v>
      </c>
      <c r="AK259" s="89">
        <f t="shared" si="147"/>
        <v>0</v>
      </c>
      <c r="AL259" s="89">
        <f t="shared" si="147"/>
        <v>0</v>
      </c>
      <c r="AM259" s="89">
        <f>SUM(AM258:AM258)</f>
        <v>10000000</v>
      </c>
      <c r="AN259" s="89">
        <f t="shared" si="147"/>
        <v>5000000</v>
      </c>
      <c r="AO259" s="89">
        <f t="shared" si="147"/>
        <v>0</v>
      </c>
      <c r="AP259" s="294">
        <f t="shared" si="147"/>
        <v>0</v>
      </c>
    </row>
    <row r="260" spans="1:42" s="96" customFormat="1" ht="24" customHeight="1" x14ac:dyDescent="0.55000000000000004">
      <c r="A260" s="90"/>
      <c r="B260" s="91"/>
      <c r="C260" s="91"/>
      <c r="D260" s="91"/>
      <c r="E260" s="91"/>
      <c r="F260" s="91"/>
      <c r="G260" s="91"/>
      <c r="H260" s="18"/>
      <c r="I260" s="171"/>
      <c r="J260" s="195"/>
      <c r="K260" s="143"/>
      <c r="L260" s="303"/>
      <c r="M260" s="303"/>
      <c r="N260" s="303"/>
      <c r="O260" s="195"/>
      <c r="P260" s="211"/>
      <c r="Q260" s="195"/>
      <c r="R260" s="211"/>
      <c r="S260" s="240"/>
      <c r="T260" s="211"/>
      <c r="U260" s="240"/>
      <c r="V260" s="143"/>
      <c r="W260" s="92"/>
      <c r="X260" s="92"/>
      <c r="Y260" s="94"/>
      <c r="Z260" s="91"/>
      <c r="AA260" s="91"/>
      <c r="AB260" s="91"/>
      <c r="AC260" s="331"/>
      <c r="AD260" s="331"/>
      <c r="AE260" s="33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120"/>
    </row>
    <row r="261" spans="1:42" s="22" customFormat="1" ht="67.5" customHeight="1" x14ac:dyDescent="0.55000000000000004">
      <c r="A261" s="27"/>
      <c r="B261" s="27"/>
      <c r="C261" s="27"/>
      <c r="D261" s="27"/>
      <c r="E261" s="27"/>
      <c r="F261" s="27"/>
      <c r="G261" s="27"/>
      <c r="H261" s="28"/>
      <c r="I261" s="196"/>
      <c r="J261" s="196"/>
      <c r="K261" s="196"/>
      <c r="L261" s="301"/>
      <c r="M261" s="301"/>
      <c r="N261" s="301"/>
      <c r="O261" s="196"/>
      <c r="P261" s="167">
        <f>P259</f>
        <v>0</v>
      </c>
      <c r="Q261" s="196"/>
      <c r="R261" s="167">
        <f>R259</f>
        <v>0</v>
      </c>
      <c r="S261" s="133">
        <f t="shared" ref="S261" si="148">S259</f>
        <v>0</v>
      </c>
      <c r="T261" s="167">
        <f>T259</f>
        <v>1</v>
      </c>
      <c r="U261" s="133">
        <f t="shared" ref="U261" si="149">U259</f>
        <v>15000000</v>
      </c>
      <c r="V261" s="196"/>
      <c r="W261" s="337" t="s">
        <v>22</v>
      </c>
      <c r="X261" s="338"/>
      <c r="Y261" s="338"/>
      <c r="Z261" s="338"/>
      <c r="AA261" s="183"/>
      <c r="AB261" s="133">
        <f t="shared" ref="AB261:AE261" si="150">AB259</f>
        <v>15000000</v>
      </c>
      <c r="AC261" s="133">
        <f t="shared" si="150"/>
        <v>0</v>
      </c>
      <c r="AD261" s="133">
        <f t="shared" si="150"/>
        <v>0</v>
      </c>
      <c r="AE261" s="133">
        <f t="shared" si="150"/>
        <v>0</v>
      </c>
      <c r="AF261" s="133">
        <f>AF259</f>
        <v>15000000</v>
      </c>
      <c r="AG261" s="133">
        <f t="shared" ref="AG261:AO261" si="151">AG259</f>
        <v>0</v>
      </c>
      <c r="AH261" s="133">
        <f t="shared" si="151"/>
        <v>0</v>
      </c>
      <c r="AI261" s="133">
        <f t="shared" si="151"/>
        <v>0</v>
      </c>
      <c r="AJ261" s="133">
        <f t="shared" si="151"/>
        <v>0</v>
      </c>
      <c r="AK261" s="133">
        <f t="shared" si="151"/>
        <v>0</v>
      </c>
      <c r="AL261" s="133">
        <f t="shared" si="151"/>
        <v>0</v>
      </c>
      <c r="AM261" s="133">
        <f t="shared" si="151"/>
        <v>10000000</v>
      </c>
      <c r="AN261" s="133">
        <f t="shared" si="151"/>
        <v>5000000</v>
      </c>
      <c r="AO261" s="133">
        <f t="shared" si="151"/>
        <v>0</v>
      </c>
      <c r="AP261" s="295">
        <f t="shared" ref="AP261" si="152">AP259</f>
        <v>0</v>
      </c>
    </row>
    <row r="262" spans="1:42" s="13" customFormat="1" ht="27" customHeight="1" x14ac:dyDescent="0.55000000000000004">
      <c r="A262" s="16"/>
      <c r="B262" s="17"/>
      <c r="C262" s="17"/>
      <c r="D262" s="17"/>
      <c r="E262" s="17"/>
      <c r="F262" s="17"/>
      <c r="G262" s="17"/>
      <c r="H262" s="18"/>
      <c r="I262" s="19"/>
      <c r="J262" s="195"/>
      <c r="K262" s="195"/>
      <c r="L262" s="300"/>
      <c r="M262" s="300"/>
      <c r="N262" s="300"/>
      <c r="O262" s="195"/>
      <c r="P262" s="142"/>
      <c r="Q262" s="195"/>
      <c r="R262" s="142"/>
      <c r="S262" s="239"/>
      <c r="T262" s="142"/>
      <c r="U262" s="239"/>
      <c r="V262" s="195"/>
      <c r="W262" s="18"/>
      <c r="X262" s="18"/>
      <c r="Y262" s="63"/>
      <c r="Z262" s="22"/>
      <c r="AA262" s="22"/>
      <c r="AB262" s="20"/>
      <c r="AC262" s="20"/>
      <c r="AD262" s="20"/>
      <c r="AE262" s="20"/>
      <c r="AF262" s="20"/>
      <c r="AG262" s="20"/>
      <c r="AH262" s="20"/>
      <c r="AI262" s="20"/>
      <c r="AJ262" s="20"/>
      <c r="AK262" s="22"/>
      <c r="AL262" s="22"/>
      <c r="AM262" s="22"/>
      <c r="AN262" s="20"/>
      <c r="AO262" s="20"/>
      <c r="AP262" s="32"/>
    </row>
    <row r="263" spans="1:42" s="96" customFormat="1" x14ac:dyDescent="0.55000000000000004">
      <c r="A263" s="16"/>
      <c r="B263" s="17"/>
      <c r="C263" s="17"/>
      <c r="D263" s="17"/>
      <c r="E263" s="17"/>
      <c r="F263" s="17"/>
      <c r="G263" s="17"/>
      <c r="H263" s="18"/>
      <c r="I263" s="19"/>
      <c r="J263" s="195"/>
      <c r="K263" s="195"/>
      <c r="L263" s="300"/>
      <c r="M263" s="300"/>
      <c r="N263" s="300"/>
      <c r="O263" s="195"/>
      <c r="P263" s="142"/>
      <c r="Q263" s="195"/>
      <c r="R263" s="142"/>
      <c r="S263" s="239"/>
      <c r="T263" s="142"/>
      <c r="U263" s="239"/>
      <c r="V263" s="195"/>
      <c r="W263" s="23"/>
      <c r="X263" s="18"/>
      <c r="Y263" s="114"/>
      <c r="Z263" s="92"/>
      <c r="AA263" s="92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4"/>
      <c r="AN263" s="103"/>
      <c r="AO263" s="20"/>
      <c r="AP263" s="32"/>
    </row>
    <row r="264" spans="1:42" s="85" customFormat="1" ht="43.5" customHeight="1" x14ac:dyDescent="0.2">
      <c r="A264" s="85" t="s">
        <v>225</v>
      </c>
      <c r="B264" s="86"/>
      <c r="C264" s="86"/>
      <c r="D264" s="86"/>
      <c r="E264" s="86"/>
      <c r="F264" s="86"/>
      <c r="G264" s="86"/>
      <c r="H264" s="86"/>
      <c r="J264" s="145"/>
      <c r="K264" s="321"/>
      <c r="L264" s="320"/>
      <c r="M264" s="320"/>
      <c r="N264" s="320"/>
      <c r="O264" s="145"/>
      <c r="P264" s="145"/>
      <c r="Q264" s="145"/>
      <c r="R264" s="145"/>
      <c r="S264" s="241"/>
      <c r="T264" s="145"/>
      <c r="U264" s="241"/>
      <c r="V264" s="145"/>
      <c r="Y264" s="87"/>
      <c r="Z264" s="87"/>
      <c r="AA264" s="87"/>
      <c r="AB264" s="87"/>
      <c r="AC264" s="333"/>
      <c r="AD264" s="333"/>
      <c r="AE264" s="333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</row>
    <row r="265" spans="1:42" s="13" customFormat="1" ht="188.25" customHeight="1" x14ac:dyDescent="0.45">
      <c r="A265" s="73" t="s">
        <v>306</v>
      </c>
      <c r="B265" s="73" t="s">
        <v>226</v>
      </c>
      <c r="C265" s="74" t="s">
        <v>55</v>
      </c>
      <c r="D265" s="74" t="s">
        <v>20</v>
      </c>
      <c r="E265" s="74" t="s">
        <v>20</v>
      </c>
      <c r="F265" s="74" t="s">
        <v>20</v>
      </c>
      <c r="G265" s="74"/>
      <c r="H265" s="121" t="s">
        <v>253</v>
      </c>
      <c r="I265" s="73" t="s">
        <v>45</v>
      </c>
      <c r="J265" s="194"/>
      <c r="K265" s="287" t="s">
        <v>233</v>
      </c>
      <c r="L265" s="298">
        <v>43165</v>
      </c>
      <c r="M265" s="298">
        <v>43172</v>
      </c>
      <c r="N265" s="298" t="s">
        <v>243</v>
      </c>
      <c r="O265" s="194"/>
      <c r="P265" s="275"/>
      <c r="Q265" s="194"/>
      <c r="R265" s="141">
        <v>1</v>
      </c>
      <c r="S265" s="237">
        <f>AF265</f>
        <v>200000</v>
      </c>
      <c r="T265" s="141"/>
      <c r="U265" s="237"/>
      <c r="V265" s="194"/>
      <c r="W265" s="152" t="s">
        <v>227</v>
      </c>
      <c r="X265" s="152" t="s">
        <v>21</v>
      </c>
      <c r="Y265" s="152" t="s">
        <v>20</v>
      </c>
      <c r="Z265" s="152" t="s">
        <v>20</v>
      </c>
      <c r="AA265" s="153" t="s">
        <v>20</v>
      </c>
      <c r="AB265" s="76">
        <v>200000</v>
      </c>
      <c r="AC265" s="330"/>
      <c r="AD265" s="330"/>
      <c r="AE265" s="330"/>
      <c r="AF265" s="76">
        <f>SUM(AG265:AO265)</f>
        <v>200000</v>
      </c>
      <c r="AG265" s="153"/>
      <c r="AH265" s="75"/>
      <c r="AI265" s="75"/>
      <c r="AJ265" s="75"/>
      <c r="AK265" s="75"/>
      <c r="AL265" s="75"/>
      <c r="AM265" s="153">
        <v>200000</v>
      </c>
      <c r="AN265" s="153"/>
      <c r="AO265" s="153"/>
      <c r="AP265" s="162"/>
    </row>
    <row r="266" spans="1:42" s="13" customFormat="1" ht="63" customHeight="1" x14ac:dyDescent="0.55000000000000004">
      <c r="A266" s="14"/>
      <c r="B266" s="14"/>
      <c r="C266" s="14"/>
      <c r="D266" s="14"/>
      <c r="E266" s="14"/>
      <c r="F266" s="14"/>
      <c r="G266" s="14"/>
      <c r="I266" s="15"/>
      <c r="K266" s="288"/>
      <c r="L266" s="299"/>
      <c r="M266" s="299"/>
      <c r="N266" s="299"/>
      <c r="O266" s="288"/>
      <c r="P266" s="315">
        <f>SUM(P265:P265)</f>
        <v>0</v>
      </c>
      <c r="Q266" s="202"/>
      <c r="R266" s="151">
        <f>SUM(R265:R265)</f>
        <v>1</v>
      </c>
      <c r="S266" s="238">
        <f>SUM(S265:S265)</f>
        <v>200000</v>
      </c>
      <c r="T266" s="151">
        <f>SUM(T265:T265)</f>
        <v>0</v>
      </c>
      <c r="U266" s="238">
        <f>SUM(U265:U265)</f>
        <v>0</v>
      </c>
      <c r="V266" s="207"/>
      <c r="W266" s="201"/>
      <c r="X266" s="201"/>
      <c r="Y266" s="208"/>
      <c r="Z266" s="201"/>
      <c r="AA266" s="15"/>
      <c r="AB266" s="89">
        <f t="shared" ref="AB266:AE266" si="153">SUM(AB265:AB265)</f>
        <v>200000</v>
      </c>
      <c r="AC266" s="238">
        <f t="shared" si="153"/>
        <v>0</v>
      </c>
      <c r="AD266" s="238">
        <f t="shared" si="153"/>
        <v>0</v>
      </c>
      <c r="AE266" s="238">
        <f t="shared" si="153"/>
        <v>0</v>
      </c>
      <c r="AF266" s="89">
        <f>SUM(AF265:AF265)</f>
        <v>200000</v>
      </c>
      <c r="AG266" s="89">
        <f t="shared" ref="AG266:AL266" si="154">SUM(AG265:AG265)</f>
        <v>0</v>
      </c>
      <c r="AH266" s="89">
        <f t="shared" si="154"/>
        <v>0</v>
      </c>
      <c r="AI266" s="89">
        <f t="shared" si="154"/>
        <v>0</v>
      </c>
      <c r="AJ266" s="89">
        <f t="shared" si="154"/>
        <v>0</v>
      </c>
      <c r="AK266" s="89">
        <f t="shared" si="154"/>
        <v>0</v>
      </c>
      <c r="AL266" s="89">
        <f t="shared" si="154"/>
        <v>0</v>
      </c>
      <c r="AM266" s="89">
        <f>SUM(AM265:AM265)</f>
        <v>200000</v>
      </c>
      <c r="AN266" s="89">
        <f t="shared" ref="AN266:AP266" si="155">SUM(AN265:AN265)</f>
        <v>0</v>
      </c>
      <c r="AO266" s="89">
        <f t="shared" si="155"/>
        <v>0</v>
      </c>
      <c r="AP266" s="294">
        <f t="shared" si="155"/>
        <v>0</v>
      </c>
    </row>
    <row r="267" spans="1:42" s="96" customFormat="1" ht="24" customHeight="1" x14ac:dyDescent="0.55000000000000004">
      <c r="A267" s="90"/>
      <c r="B267" s="91"/>
      <c r="C267" s="91"/>
      <c r="D267" s="91"/>
      <c r="E267" s="91"/>
      <c r="F267" s="91"/>
      <c r="G267" s="91"/>
      <c r="H267" s="18"/>
      <c r="I267" s="171"/>
      <c r="J267" s="195"/>
      <c r="K267" s="143"/>
      <c r="L267" s="303"/>
      <c r="M267" s="303"/>
      <c r="N267" s="303"/>
      <c r="O267" s="195"/>
      <c r="P267" s="211"/>
      <c r="Q267" s="195"/>
      <c r="R267" s="211"/>
      <c r="S267" s="240"/>
      <c r="T267" s="211"/>
      <c r="U267" s="240"/>
      <c r="V267" s="143"/>
      <c r="W267" s="92"/>
      <c r="X267" s="92"/>
      <c r="Y267" s="94"/>
      <c r="Z267" s="91"/>
      <c r="AA267" s="91"/>
      <c r="AB267" s="91"/>
      <c r="AC267" s="331"/>
      <c r="AD267" s="331"/>
      <c r="AE267" s="33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120"/>
    </row>
    <row r="268" spans="1:42" s="22" customFormat="1" ht="67.5" customHeight="1" x14ac:dyDescent="0.55000000000000004">
      <c r="A268" s="27"/>
      <c r="B268" s="27"/>
      <c r="C268" s="27"/>
      <c r="D268" s="27"/>
      <c r="E268" s="27"/>
      <c r="F268" s="27"/>
      <c r="G268" s="27"/>
      <c r="H268" s="28"/>
      <c r="I268" s="196"/>
      <c r="J268" s="196"/>
      <c r="K268" s="196"/>
      <c r="L268" s="301"/>
      <c r="M268" s="301"/>
      <c r="N268" s="301"/>
      <c r="O268" s="196"/>
      <c r="P268" s="167">
        <f>P266</f>
        <v>0</v>
      </c>
      <c r="Q268" s="196"/>
      <c r="R268" s="167">
        <f>R266</f>
        <v>1</v>
      </c>
      <c r="S268" s="133">
        <f t="shared" ref="S268" si="156">S266</f>
        <v>200000</v>
      </c>
      <c r="T268" s="167">
        <f>T266</f>
        <v>0</v>
      </c>
      <c r="U268" s="133">
        <f t="shared" ref="U268" si="157">U266</f>
        <v>0</v>
      </c>
      <c r="V268" s="196"/>
      <c r="W268" s="337" t="s">
        <v>22</v>
      </c>
      <c r="X268" s="338"/>
      <c r="Y268" s="338"/>
      <c r="Z268" s="338"/>
      <c r="AA268" s="183"/>
      <c r="AB268" s="133">
        <f t="shared" ref="AB268:AE268" si="158">AB266</f>
        <v>200000</v>
      </c>
      <c r="AC268" s="133">
        <f t="shared" si="158"/>
        <v>0</v>
      </c>
      <c r="AD268" s="133">
        <f t="shared" si="158"/>
        <v>0</v>
      </c>
      <c r="AE268" s="133">
        <f t="shared" si="158"/>
        <v>0</v>
      </c>
      <c r="AF268" s="133">
        <f>AF266</f>
        <v>200000</v>
      </c>
      <c r="AG268" s="133">
        <f t="shared" ref="AG268:AO268" si="159">AG266</f>
        <v>0</v>
      </c>
      <c r="AH268" s="133">
        <f t="shared" si="159"/>
        <v>0</v>
      </c>
      <c r="AI268" s="133">
        <f t="shared" si="159"/>
        <v>0</v>
      </c>
      <c r="AJ268" s="133">
        <f t="shared" si="159"/>
        <v>0</v>
      </c>
      <c r="AK268" s="133">
        <f t="shared" si="159"/>
        <v>0</v>
      </c>
      <c r="AL268" s="133">
        <f t="shared" si="159"/>
        <v>0</v>
      </c>
      <c r="AM268" s="133">
        <f t="shared" si="159"/>
        <v>200000</v>
      </c>
      <c r="AN268" s="133">
        <f t="shared" si="159"/>
        <v>0</v>
      </c>
      <c r="AO268" s="133">
        <f t="shared" si="159"/>
        <v>0</v>
      </c>
      <c r="AP268" s="295">
        <f t="shared" ref="AP268" si="160">AP266</f>
        <v>0</v>
      </c>
    </row>
    <row r="269" spans="1:42" s="13" customFormat="1" ht="27" customHeight="1" x14ac:dyDescent="0.55000000000000004">
      <c r="A269" s="16"/>
      <c r="B269" s="17"/>
      <c r="C269" s="17"/>
      <c r="D269" s="17"/>
      <c r="E269" s="17"/>
      <c r="F269" s="17"/>
      <c r="G269" s="17"/>
      <c r="H269" s="18"/>
      <c r="I269" s="19"/>
      <c r="J269" s="195"/>
      <c r="K269" s="195"/>
      <c r="L269" s="300"/>
      <c r="M269" s="300"/>
      <c r="N269" s="300"/>
      <c r="O269" s="195"/>
      <c r="P269" s="142"/>
      <c r="Q269" s="195"/>
      <c r="R269" s="142"/>
      <c r="S269" s="239"/>
      <c r="T269" s="142"/>
      <c r="U269" s="239"/>
      <c r="V269" s="195"/>
      <c r="W269" s="18"/>
      <c r="X269" s="18"/>
      <c r="Y269" s="63"/>
      <c r="Z269" s="22"/>
      <c r="AA269" s="22"/>
      <c r="AC269" s="20"/>
      <c r="AD269" s="20"/>
      <c r="AE269" s="20"/>
      <c r="AF269" s="20"/>
      <c r="AG269" s="20"/>
      <c r="AH269" s="20"/>
      <c r="AI269" s="20"/>
      <c r="AJ269" s="20"/>
      <c r="AK269" s="22"/>
      <c r="AL269" s="22"/>
      <c r="AM269" s="22"/>
      <c r="AN269" s="20"/>
      <c r="AO269" s="20"/>
      <c r="AP269" s="32"/>
    </row>
    <row r="270" spans="1:42" s="96" customFormat="1" x14ac:dyDescent="0.55000000000000004">
      <c r="A270" s="16"/>
      <c r="B270" s="17"/>
      <c r="C270" s="17"/>
      <c r="D270" s="17"/>
      <c r="E270" s="17"/>
      <c r="F270" s="17"/>
      <c r="G270" s="17"/>
      <c r="H270" s="18"/>
      <c r="I270" s="19"/>
      <c r="J270" s="195"/>
      <c r="K270" s="195"/>
      <c r="L270" s="300"/>
      <c r="M270" s="300"/>
      <c r="N270" s="300"/>
      <c r="O270" s="195"/>
      <c r="P270" s="142"/>
      <c r="Q270" s="195"/>
      <c r="R270" s="142"/>
      <c r="S270" s="239"/>
      <c r="T270" s="142"/>
      <c r="U270" s="239"/>
      <c r="V270" s="195"/>
      <c r="W270" s="23"/>
      <c r="X270" s="18"/>
      <c r="Y270" s="114"/>
      <c r="Z270" s="92"/>
      <c r="AA270" s="92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4"/>
      <c r="AN270" s="103"/>
      <c r="AO270" s="20"/>
      <c r="AP270" s="32"/>
    </row>
    <row r="271" spans="1:42" s="85" customFormat="1" ht="43.5" customHeight="1" x14ac:dyDescent="0.2">
      <c r="A271" s="85" t="s">
        <v>311</v>
      </c>
      <c r="B271" s="86"/>
      <c r="C271" s="86"/>
      <c r="D271" s="86"/>
      <c r="E271" s="86"/>
      <c r="F271" s="86"/>
      <c r="G271" s="86"/>
      <c r="H271" s="86"/>
      <c r="J271" s="145"/>
      <c r="K271" s="321"/>
      <c r="L271" s="320"/>
      <c r="M271" s="320"/>
      <c r="N271" s="320"/>
      <c r="O271" s="145"/>
      <c r="P271" s="145"/>
      <c r="Q271" s="145"/>
      <c r="R271" s="145"/>
      <c r="S271" s="241"/>
      <c r="T271" s="145"/>
      <c r="U271" s="241"/>
      <c r="V271" s="145"/>
      <c r="Y271" s="87"/>
      <c r="Z271" s="87"/>
      <c r="AA271" s="87"/>
      <c r="AC271" s="333"/>
      <c r="AD271" s="333"/>
      <c r="AE271" s="333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</row>
    <row r="272" spans="1:42" s="96" customFormat="1" ht="43.5" customHeight="1" x14ac:dyDescent="0.2">
      <c r="A272" s="97" t="s">
        <v>39</v>
      </c>
      <c r="B272" s="91"/>
      <c r="C272" s="91"/>
      <c r="D272" s="91"/>
      <c r="E272" s="91"/>
      <c r="F272" s="91"/>
      <c r="G272" s="91"/>
      <c r="H272" s="91"/>
      <c r="I272" s="92"/>
      <c r="J272" s="143"/>
      <c r="K272" s="143"/>
      <c r="L272" s="303"/>
      <c r="M272" s="303"/>
      <c r="N272" s="303"/>
      <c r="O272" s="143"/>
      <c r="P272" s="143"/>
      <c r="Q272" s="143"/>
      <c r="R272" s="143"/>
      <c r="S272" s="240"/>
      <c r="T272" s="143"/>
      <c r="U272" s="240"/>
      <c r="V272" s="143"/>
      <c r="W272" s="92"/>
      <c r="X272" s="92"/>
      <c r="Y272" s="116"/>
      <c r="Z272" s="102"/>
      <c r="AA272" s="102"/>
      <c r="AC272" s="331"/>
      <c r="AD272" s="331"/>
      <c r="AE272" s="331"/>
      <c r="AF272" s="102"/>
      <c r="AG272" s="102"/>
      <c r="AH272" s="102"/>
      <c r="AI272" s="102"/>
      <c r="AJ272" s="102"/>
      <c r="AK272" s="102"/>
      <c r="AL272" s="102"/>
      <c r="AM272" s="102"/>
      <c r="AN272" s="102"/>
      <c r="AO272" s="102"/>
      <c r="AP272" s="102"/>
    </row>
    <row r="273" spans="1:42" s="13" customFormat="1" ht="188.25" customHeight="1" x14ac:dyDescent="0.45">
      <c r="A273" s="73" t="s">
        <v>312</v>
      </c>
      <c r="B273" s="73"/>
      <c r="C273" s="74"/>
      <c r="D273" s="74" t="s">
        <v>314</v>
      </c>
      <c r="E273" s="74" t="s">
        <v>53</v>
      </c>
      <c r="F273" s="74" t="s">
        <v>52</v>
      </c>
      <c r="G273" s="74"/>
      <c r="H273" s="121" t="s">
        <v>316</v>
      </c>
      <c r="I273" s="73" t="s">
        <v>114</v>
      </c>
      <c r="J273" s="194"/>
      <c r="K273" s="287" t="s">
        <v>233</v>
      </c>
      <c r="L273" s="298">
        <v>43165</v>
      </c>
      <c r="M273" s="298">
        <v>43172</v>
      </c>
      <c r="N273" s="298" t="s">
        <v>243</v>
      </c>
      <c r="O273" s="194"/>
      <c r="P273" s="275"/>
      <c r="Q273" s="194"/>
      <c r="R273" s="141"/>
      <c r="S273" s="237"/>
      <c r="T273" s="141">
        <v>1</v>
      </c>
      <c r="U273" s="237">
        <f>AF273</f>
        <v>144824.93</v>
      </c>
      <c r="V273" s="282"/>
      <c r="W273" s="152" t="s">
        <v>227</v>
      </c>
      <c r="X273" s="152" t="s">
        <v>21</v>
      </c>
      <c r="Y273" s="152" t="s">
        <v>20</v>
      </c>
      <c r="Z273" s="152" t="s">
        <v>20</v>
      </c>
      <c r="AA273" s="153" t="s">
        <v>20</v>
      </c>
      <c r="AB273" s="76">
        <v>144824.93</v>
      </c>
      <c r="AC273" s="330"/>
      <c r="AD273" s="330"/>
      <c r="AE273" s="330"/>
      <c r="AF273" s="76">
        <f>SUM(AG273:AO273)</f>
        <v>144824.93</v>
      </c>
      <c r="AG273" s="153"/>
      <c r="AH273" s="75">
        <v>72412.47</v>
      </c>
      <c r="AI273" s="75"/>
      <c r="AJ273" s="75">
        <v>72412.460000000006</v>
      </c>
      <c r="AK273" s="75"/>
      <c r="AL273" s="75"/>
      <c r="AM273" s="153"/>
      <c r="AN273" s="153"/>
      <c r="AO273" s="153"/>
      <c r="AP273" s="162"/>
    </row>
    <row r="274" spans="1:42" s="13" customFormat="1" ht="63" customHeight="1" x14ac:dyDescent="0.55000000000000004">
      <c r="A274" s="14"/>
      <c r="B274" s="14"/>
      <c r="C274" s="14"/>
      <c r="D274" s="14"/>
      <c r="E274" s="14"/>
      <c r="F274" s="14"/>
      <c r="G274" s="14"/>
      <c r="I274" s="15"/>
      <c r="K274" s="288"/>
      <c r="L274" s="299"/>
      <c r="M274" s="299"/>
      <c r="N274" s="299"/>
      <c r="O274" s="288"/>
      <c r="P274" s="315">
        <f>SUM(P273:P273)</f>
        <v>0</v>
      </c>
      <c r="Q274" s="202"/>
      <c r="R274" s="151">
        <f>SUM(R273:R273)</f>
        <v>0</v>
      </c>
      <c r="S274" s="238">
        <f>SUM(S273:S273)</f>
        <v>0</v>
      </c>
      <c r="T274" s="151">
        <f>SUM(T273:T273)</f>
        <v>1</v>
      </c>
      <c r="U274" s="238">
        <f>SUM(U273:U273)</f>
        <v>144824.93</v>
      </c>
      <c r="V274" s="207"/>
      <c r="W274" s="201"/>
      <c r="X274" s="201"/>
      <c r="Y274" s="208"/>
      <c r="Z274" s="201"/>
      <c r="AA274" s="15"/>
      <c r="AB274" s="89">
        <f t="shared" ref="AB274:AE274" si="161">SUM(AB273:AB273)</f>
        <v>144824.93</v>
      </c>
      <c r="AC274" s="238">
        <f t="shared" si="161"/>
        <v>0</v>
      </c>
      <c r="AD274" s="238">
        <f t="shared" si="161"/>
        <v>0</v>
      </c>
      <c r="AE274" s="238">
        <f t="shared" si="161"/>
        <v>0</v>
      </c>
      <c r="AF274" s="89">
        <f>SUM(AF273:AF273)</f>
        <v>144824.93</v>
      </c>
      <c r="AG274" s="89">
        <f t="shared" ref="AG274:AL274" si="162">SUM(AG273:AG273)</f>
        <v>0</v>
      </c>
      <c r="AH274" s="89">
        <f t="shared" si="162"/>
        <v>72412.47</v>
      </c>
      <c r="AI274" s="89">
        <f t="shared" si="162"/>
        <v>0</v>
      </c>
      <c r="AJ274" s="89">
        <f t="shared" si="162"/>
        <v>72412.460000000006</v>
      </c>
      <c r="AK274" s="89">
        <f t="shared" si="162"/>
        <v>0</v>
      </c>
      <c r="AL274" s="89">
        <f t="shared" si="162"/>
        <v>0</v>
      </c>
      <c r="AM274" s="89">
        <f>SUM(AM273:AM273)</f>
        <v>0</v>
      </c>
      <c r="AN274" s="89">
        <f t="shared" ref="AN274:AO274" si="163">SUM(AN273:AN273)</f>
        <v>0</v>
      </c>
      <c r="AO274" s="89">
        <f t="shared" si="163"/>
        <v>0</v>
      </c>
      <c r="AP274" s="294">
        <f t="shared" ref="AP274" si="164">SUM(AP273:AP273)</f>
        <v>0</v>
      </c>
    </row>
    <row r="275" spans="1:42" s="96" customFormat="1" ht="43.5" customHeight="1" x14ac:dyDescent="0.2">
      <c r="A275" s="97" t="s">
        <v>131</v>
      </c>
      <c r="B275" s="91"/>
      <c r="C275" s="91"/>
      <c r="D275" s="91"/>
      <c r="E275" s="91"/>
      <c r="F275" s="91"/>
      <c r="G275" s="91"/>
      <c r="H275" s="91"/>
      <c r="I275" s="92"/>
      <c r="J275" s="143"/>
      <c r="K275" s="143"/>
      <c r="L275" s="303"/>
      <c r="M275" s="303"/>
      <c r="N275" s="303"/>
      <c r="O275" s="143"/>
      <c r="P275" s="143"/>
      <c r="Q275" s="143"/>
      <c r="R275" s="143"/>
      <c r="S275" s="240"/>
      <c r="T275" s="143"/>
      <c r="U275" s="240"/>
      <c r="V275" s="143"/>
      <c r="W275" s="92"/>
      <c r="X275" s="92"/>
      <c r="Y275" s="116"/>
      <c r="Z275" s="102"/>
      <c r="AA275" s="102"/>
      <c r="AC275" s="331"/>
      <c r="AD275" s="331"/>
      <c r="AE275" s="331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</row>
    <row r="276" spans="1:42" s="13" customFormat="1" ht="212.25" customHeight="1" x14ac:dyDescent="0.45">
      <c r="A276" s="73" t="s">
        <v>313</v>
      </c>
      <c r="B276" s="73"/>
      <c r="C276" s="74"/>
      <c r="D276" s="74" t="s">
        <v>315</v>
      </c>
      <c r="E276" s="74" t="s">
        <v>53</v>
      </c>
      <c r="F276" s="74" t="s">
        <v>52</v>
      </c>
      <c r="G276" s="74"/>
      <c r="H276" s="121" t="s">
        <v>317</v>
      </c>
      <c r="I276" s="73" t="s">
        <v>318</v>
      </c>
      <c r="J276" s="194"/>
      <c r="K276" s="287" t="s">
        <v>233</v>
      </c>
      <c r="L276" s="298">
        <v>43165</v>
      </c>
      <c r="M276" s="298">
        <v>43172</v>
      </c>
      <c r="N276" s="298" t="s">
        <v>243</v>
      </c>
      <c r="O276" s="194"/>
      <c r="P276" s="275"/>
      <c r="Q276" s="194"/>
      <c r="R276" s="141">
        <v>1</v>
      </c>
      <c r="S276" s="237">
        <f>AF276</f>
        <v>10897.83</v>
      </c>
      <c r="T276" s="141"/>
      <c r="U276" s="237"/>
      <c r="V276" s="284"/>
      <c r="W276" s="152" t="s">
        <v>227</v>
      </c>
      <c r="X276" s="152" t="s">
        <v>21</v>
      </c>
      <c r="Y276" s="152" t="s">
        <v>20</v>
      </c>
      <c r="Z276" s="152" t="s">
        <v>20</v>
      </c>
      <c r="AA276" s="153" t="s">
        <v>20</v>
      </c>
      <c r="AB276" s="76">
        <v>10897.83</v>
      </c>
      <c r="AC276" s="330"/>
      <c r="AD276" s="330"/>
      <c r="AE276" s="330"/>
      <c r="AF276" s="76">
        <f>SUM(AG276:AO276)</f>
        <v>10897.83</v>
      </c>
      <c r="AG276" s="153"/>
      <c r="AH276" s="75"/>
      <c r="AI276" s="75"/>
      <c r="AJ276" s="75"/>
      <c r="AK276" s="75">
        <v>10897.83</v>
      </c>
      <c r="AL276" s="75"/>
      <c r="AM276" s="153"/>
      <c r="AN276" s="153"/>
      <c r="AO276" s="153"/>
      <c r="AP276" s="162"/>
    </row>
    <row r="277" spans="1:42" s="13" customFormat="1" ht="63" customHeight="1" x14ac:dyDescent="0.55000000000000004">
      <c r="A277" s="14"/>
      <c r="B277" s="14"/>
      <c r="C277" s="14"/>
      <c r="D277" s="14"/>
      <c r="E277" s="14"/>
      <c r="F277" s="14"/>
      <c r="G277" s="14"/>
      <c r="I277" s="15"/>
      <c r="K277" s="288"/>
      <c r="L277" s="299"/>
      <c r="M277" s="299"/>
      <c r="N277" s="299"/>
      <c r="O277" s="288"/>
      <c r="P277" s="315">
        <f>SUM(P276:P276)</f>
        <v>0</v>
      </c>
      <c r="Q277" s="202"/>
      <c r="R277" s="151">
        <f>SUM(R276:R276)</f>
        <v>1</v>
      </c>
      <c r="S277" s="238">
        <f>SUM(S276:S276)</f>
        <v>10897.83</v>
      </c>
      <c r="T277" s="151">
        <f>SUM(T276:T276)</f>
        <v>0</v>
      </c>
      <c r="U277" s="238">
        <f>SUM(U276:U276)</f>
        <v>0</v>
      </c>
      <c r="V277" s="207"/>
      <c r="W277" s="201"/>
      <c r="X277" s="201"/>
      <c r="Y277" s="208"/>
      <c r="Z277" s="201"/>
      <c r="AA277" s="15"/>
      <c r="AB277" s="89">
        <f t="shared" ref="AB277:AE277" si="165">SUM(AB276:AB276)</f>
        <v>10897.83</v>
      </c>
      <c r="AC277" s="238">
        <f t="shared" si="165"/>
        <v>0</v>
      </c>
      <c r="AD277" s="238">
        <f t="shared" si="165"/>
        <v>0</v>
      </c>
      <c r="AE277" s="238">
        <f t="shared" si="165"/>
        <v>0</v>
      </c>
      <c r="AF277" s="89">
        <f>SUM(AF276:AF276)</f>
        <v>10897.83</v>
      </c>
      <c r="AG277" s="89">
        <f t="shared" ref="AG277:AJ277" si="166">SUM(AG276:AG276)</f>
        <v>0</v>
      </c>
      <c r="AH277" s="89">
        <f t="shared" si="166"/>
        <v>0</v>
      </c>
      <c r="AI277" s="89">
        <f t="shared" si="166"/>
        <v>0</v>
      </c>
      <c r="AJ277" s="89">
        <f t="shared" si="166"/>
        <v>0</v>
      </c>
      <c r="AK277" s="89">
        <f t="shared" ref="AK277:AP277" si="167">SUM(AK276:AK276)</f>
        <v>10897.83</v>
      </c>
      <c r="AL277" s="89">
        <f t="shared" si="167"/>
        <v>0</v>
      </c>
      <c r="AM277" s="89">
        <f t="shared" si="167"/>
        <v>0</v>
      </c>
      <c r="AN277" s="89">
        <f t="shared" si="167"/>
        <v>0</v>
      </c>
      <c r="AO277" s="89">
        <f t="shared" si="167"/>
        <v>0</v>
      </c>
      <c r="AP277" s="294">
        <f t="shared" si="167"/>
        <v>0</v>
      </c>
    </row>
    <row r="278" spans="1:42" s="96" customFormat="1" ht="24" customHeight="1" x14ac:dyDescent="0.55000000000000004">
      <c r="A278" s="90"/>
      <c r="B278" s="91"/>
      <c r="C278" s="91"/>
      <c r="D278" s="91"/>
      <c r="E278" s="91"/>
      <c r="F278" s="91"/>
      <c r="G278" s="91"/>
      <c r="H278" s="18"/>
      <c r="I278" s="171"/>
      <c r="J278" s="195"/>
      <c r="K278" s="143"/>
      <c r="L278" s="303"/>
      <c r="M278" s="303"/>
      <c r="N278" s="303"/>
      <c r="O278" s="195"/>
      <c r="P278" s="211"/>
      <c r="Q278" s="195"/>
      <c r="R278" s="211"/>
      <c r="S278" s="240"/>
      <c r="T278" s="211"/>
      <c r="U278" s="240"/>
      <c r="V278" s="143"/>
      <c r="W278" s="92"/>
      <c r="X278" s="92"/>
      <c r="Y278" s="94"/>
      <c r="Z278" s="91"/>
      <c r="AA278" s="91"/>
      <c r="AB278" s="91"/>
      <c r="AC278" s="331"/>
      <c r="AD278" s="331"/>
      <c r="AE278" s="33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120"/>
    </row>
    <row r="279" spans="1:42" s="22" customFormat="1" ht="67.5" customHeight="1" x14ac:dyDescent="0.55000000000000004">
      <c r="A279" s="27"/>
      <c r="B279" s="27"/>
      <c r="C279" s="27"/>
      <c r="D279" s="27"/>
      <c r="E279" s="27"/>
      <c r="F279" s="27"/>
      <c r="G279" s="27"/>
      <c r="H279" s="28"/>
      <c r="I279" s="196"/>
      <c r="J279" s="196"/>
      <c r="K279" s="196"/>
      <c r="L279" s="301"/>
      <c r="M279" s="301"/>
      <c r="N279" s="301"/>
      <c r="O279" s="196"/>
      <c r="P279" s="167">
        <f>P274</f>
        <v>0</v>
      </c>
      <c r="Q279" s="196"/>
      <c r="R279" s="167">
        <f>R277+R274</f>
        <v>1</v>
      </c>
      <c r="S279" s="133">
        <f>S277+S274</f>
        <v>10897.83</v>
      </c>
      <c r="T279" s="167">
        <f>T277+T274</f>
        <v>1</v>
      </c>
      <c r="U279" s="133">
        <f>U277+U274</f>
        <v>144824.93</v>
      </c>
      <c r="V279" s="196"/>
      <c r="W279" s="337" t="s">
        <v>22</v>
      </c>
      <c r="X279" s="338"/>
      <c r="Y279" s="338"/>
      <c r="Z279" s="338"/>
      <c r="AA279" s="183"/>
      <c r="AB279" s="133">
        <f t="shared" ref="AB279:AE279" si="168">AB277+AB274</f>
        <v>155722.75999999998</v>
      </c>
      <c r="AC279" s="133">
        <f t="shared" si="168"/>
        <v>0</v>
      </c>
      <c r="AD279" s="133">
        <f t="shared" si="168"/>
        <v>0</v>
      </c>
      <c r="AE279" s="133">
        <f t="shared" si="168"/>
        <v>0</v>
      </c>
      <c r="AF279" s="133">
        <f>AF277+AF274</f>
        <v>155722.75999999998</v>
      </c>
      <c r="AG279" s="133">
        <f t="shared" ref="AG279:AJ279" si="169">AG277+AG274</f>
        <v>0</v>
      </c>
      <c r="AH279" s="133">
        <f t="shared" si="169"/>
        <v>72412.47</v>
      </c>
      <c r="AI279" s="133">
        <f t="shared" si="169"/>
        <v>0</v>
      </c>
      <c r="AJ279" s="133">
        <f t="shared" si="169"/>
        <v>72412.460000000006</v>
      </c>
      <c r="AK279" s="133">
        <f t="shared" ref="AK279:AO279" si="170">AK277+AK274</f>
        <v>10897.83</v>
      </c>
      <c r="AL279" s="133">
        <f t="shared" si="170"/>
        <v>0</v>
      </c>
      <c r="AM279" s="133">
        <f t="shared" si="170"/>
        <v>0</v>
      </c>
      <c r="AN279" s="133">
        <f t="shared" si="170"/>
        <v>0</v>
      </c>
      <c r="AO279" s="133">
        <f t="shared" si="170"/>
        <v>0</v>
      </c>
      <c r="AP279" s="295">
        <f t="shared" ref="AP279" si="171">AP274</f>
        <v>0</v>
      </c>
    </row>
    <row r="280" spans="1:42" s="13" customFormat="1" ht="27" customHeight="1" x14ac:dyDescent="0.55000000000000004">
      <c r="A280" s="16"/>
      <c r="B280" s="17"/>
      <c r="C280" s="17"/>
      <c r="D280" s="17"/>
      <c r="E280" s="17"/>
      <c r="F280" s="17"/>
      <c r="G280" s="17"/>
      <c r="H280" s="18"/>
      <c r="I280" s="19"/>
      <c r="J280" s="195"/>
      <c r="K280" s="195"/>
      <c r="L280" s="300"/>
      <c r="M280" s="300"/>
      <c r="N280" s="300"/>
      <c r="O280" s="195"/>
      <c r="P280" s="142"/>
      <c r="Q280" s="195"/>
      <c r="R280" s="142"/>
      <c r="S280" s="239"/>
      <c r="T280" s="142"/>
      <c r="U280" s="239"/>
      <c r="V280" s="195"/>
      <c r="W280" s="18"/>
      <c r="X280" s="18"/>
      <c r="Y280" s="63"/>
      <c r="Z280" s="22"/>
      <c r="AA280" s="22"/>
      <c r="AB280" s="20"/>
      <c r="AC280" s="20"/>
      <c r="AD280" s="20"/>
      <c r="AE280" s="20"/>
      <c r="AF280" s="20"/>
      <c r="AG280" s="20"/>
      <c r="AH280" s="20"/>
      <c r="AI280" s="20"/>
      <c r="AJ280" s="20"/>
      <c r="AK280" s="22"/>
      <c r="AL280" s="22"/>
      <c r="AM280" s="22"/>
      <c r="AN280" s="20"/>
      <c r="AO280" s="20"/>
      <c r="AP280" s="32"/>
    </row>
    <row r="281" spans="1:42" s="96" customFormat="1" x14ac:dyDescent="0.55000000000000004">
      <c r="A281" s="16"/>
      <c r="B281" s="17"/>
      <c r="C281" s="17"/>
      <c r="D281" s="17"/>
      <c r="E281" s="17"/>
      <c r="F281" s="17"/>
      <c r="G281" s="17"/>
      <c r="H281" s="18"/>
      <c r="I281" s="19"/>
      <c r="J281" s="195"/>
      <c r="K281" s="195"/>
      <c r="L281" s="300"/>
      <c r="M281" s="300"/>
      <c r="N281" s="300"/>
      <c r="O281" s="195"/>
      <c r="P281" s="142"/>
      <c r="Q281" s="195"/>
      <c r="R281" s="142"/>
      <c r="S281" s="239"/>
      <c r="T281" s="142"/>
      <c r="U281" s="239"/>
      <c r="V281" s="195"/>
      <c r="W281" s="23"/>
      <c r="X281" s="18"/>
      <c r="Y281" s="114"/>
      <c r="Z281" s="92"/>
      <c r="AA281" s="92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4"/>
      <c r="AN281" s="103"/>
      <c r="AO281" s="20"/>
      <c r="AP281" s="32"/>
    </row>
    <row r="282" spans="1:42" s="106" customFormat="1" ht="43.5" customHeight="1" x14ac:dyDescent="0.2">
      <c r="A282" s="85" t="s">
        <v>87</v>
      </c>
      <c r="B282" s="105"/>
      <c r="C282" s="105"/>
      <c r="D282" s="105"/>
      <c r="E282" s="105"/>
      <c r="F282" s="105"/>
      <c r="G282" s="105"/>
      <c r="H282" s="105"/>
      <c r="J282" s="139"/>
      <c r="K282" s="143"/>
      <c r="L282" s="303"/>
      <c r="M282" s="303"/>
      <c r="N282" s="303"/>
      <c r="O282" s="139"/>
      <c r="P282" s="139"/>
      <c r="Q282" s="139"/>
      <c r="R282" s="139"/>
      <c r="S282" s="235"/>
      <c r="T282" s="139"/>
      <c r="U282" s="235"/>
      <c r="V282" s="139"/>
      <c r="Y282" s="111"/>
      <c r="Z282" s="60"/>
      <c r="AA282" s="60"/>
      <c r="AB282" s="60"/>
      <c r="AC282" s="107"/>
      <c r="AD282" s="107"/>
      <c r="AE282" s="107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</row>
    <row r="283" spans="1:42" s="13" customFormat="1" ht="138" customHeight="1" x14ac:dyDescent="0.45">
      <c r="A283" s="73" t="s">
        <v>307</v>
      </c>
      <c r="B283" s="73"/>
      <c r="C283" s="74"/>
      <c r="D283" s="74" t="s">
        <v>20</v>
      </c>
      <c r="E283" s="74" t="s">
        <v>20</v>
      </c>
      <c r="F283" s="74" t="s">
        <v>20</v>
      </c>
      <c r="G283" s="74" t="s">
        <v>20</v>
      </c>
      <c r="H283" s="121" t="s">
        <v>34</v>
      </c>
      <c r="I283" s="73" t="s">
        <v>29</v>
      </c>
      <c r="J283" s="194"/>
      <c r="K283" s="121"/>
      <c r="L283" s="314"/>
      <c r="M283" s="314"/>
      <c r="N283" s="314"/>
      <c r="O283" s="194"/>
      <c r="P283" s="277"/>
      <c r="Q283" s="194"/>
      <c r="R283" s="210">
        <v>0.5</v>
      </c>
      <c r="S283" s="237">
        <f>AF283/2</f>
        <v>947113.83499999996</v>
      </c>
      <c r="T283" s="210">
        <v>0.5</v>
      </c>
      <c r="U283" s="237">
        <f>AF283/2</f>
        <v>947113.83499999996</v>
      </c>
      <c r="V283" s="286"/>
      <c r="W283" s="73" t="s">
        <v>21</v>
      </c>
      <c r="X283" s="73" t="s">
        <v>21</v>
      </c>
      <c r="Y283" s="152" t="s">
        <v>20</v>
      </c>
      <c r="Z283" s="153" t="s">
        <v>20</v>
      </c>
      <c r="AA283" s="153" t="s">
        <v>20</v>
      </c>
      <c r="AB283" s="76">
        <v>1894227.67</v>
      </c>
      <c r="AC283" s="330"/>
      <c r="AD283" s="330"/>
      <c r="AE283" s="330"/>
      <c r="AF283" s="76">
        <f>SUM(AG283:AO283)</f>
        <v>1894227.67</v>
      </c>
      <c r="AG283" s="153"/>
      <c r="AH283" s="153"/>
      <c r="AI283" s="153"/>
      <c r="AJ283" s="153"/>
      <c r="AK283" s="153">
        <f>1394227.67-500000</f>
        <v>894227.66999999993</v>
      </c>
      <c r="AL283" s="153"/>
      <c r="AM283" s="153">
        <v>1000000</v>
      </c>
      <c r="AN283" s="153"/>
      <c r="AO283" s="153"/>
      <c r="AP283" s="162"/>
    </row>
    <row r="284" spans="1:42" s="13" customFormat="1" ht="63" customHeight="1" x14ac:dyDescent="0.55000000000000004">
      <c r="A284" s="14"/>
      <c r="B284" s="14"/>
      <c r="C284" s="14"/>
      <c r="D284" s="14"/>
      <c r="E284" s="14"/>
      <c r="F284" s="14"/>
      <c r="G284" s="14"/>
      <c r="I284" s="15"/>
      <c r="K284" s="288"/>
      <c r="L284" s="299"/>
      <c r="M284" s="299"/>
      <c r="N284" s="299"/>
      <c r="O284" s="288"/>
      <c r="P284" s="315">
        <f>SUM(P283)</f>
        <v>0</v>
      </c>
      <c r="Q284" s="202"/>
      <c r="R284" s="151">
        <f>SUM(R283)</f>
        <v>0.5</v>
      </c>
      <c r="S284" s="238">
        <f t="shared" ref="S284:U284" si="172">SUM(S283)</f>
        <v>947113.83499999996</v>
      </c>
      <c r="T284" s="151">
        <f>SUM(T283)</f>
        <v>0.5</v>
      </c>
      <c r="U284" s="238">
        <f t="shared" si="172"/>
        <v>947113.83499999996</v>
      </c>
      <c r="V284" s="207"/>
      <c r="W284" s="201"/>
      <c r="X284" s="201"/>
      <c r="Y284" s="208"/>
      <c r="Z284" s="201"/>
      <c r="AA284" s="15"/>
      <c r="AB284" s="89">
        <f t="shared" ref="AB284:AE284" si="173">SUM(AB283)</f>
        <v>1894227.67</v>
      </c>
      <c r="AC284" s="238">
        <f t="shared" si="173"/>
        <v>0</v>
      </c>
      <c r="AD284" s="238">
        <f t="shared" si="173"/>
        <v>0</v>
      </c>
      <c r="AE284" s="238">
        <f t="shared" si="173"/>
        <v>0</v>
      </c>
      <c r="AF284" s="89">
        <f>SUM(AF283)</f>
        <v>1894227.67</v>
      </c>
      <c r="AG284" s="115">
        <f t="shared" ref="AG284:AP284" si="174">SUM(AG283)</f>
        <v>0</v>
      </c>
      <c r="AH284" s="115">
        <f t="shared" si="174"/>
        <v>0</v>
      </c>
      <c r="AI284" s="115">
        <f t="shared" si="174"/>
        <v>0</v>
      </c>
      <c r="AJ284" s="115">
        <f t="shared" si="174"/>
        <v>0</v>
      </c>
      <c r="AK284" s="115">
        <f t="shared" si="174"/>
        <v>894227.66999999993</v>
      </c>
      <c r="AL284" s="115">
        <f t="shared" si="174"/>
        <v>0</v>
      </c>
      <c r="AM284" s="115">
        <f t="shared" si="174"/>
        <v>1000000</v>
      </c>
      <c r="AN284" s="115">
        <f t="shared" si="174"/>
        <v>0</v>
      </c>
      <c r="AO284" s="115">
        <f t="shared" si="174"/>
        <v>0</v>
      </c>
      <c r="AP284" s="294">
        <f t="shared" si="174"/>
        <v>0</v>
      </c>
    </row>
    <row r="285" spans="1:42" s="96" customFormat="1" ht="24" customHeight="1" x14ac:dyDescent="0.55000000000000004">
      <c r="A285" s="90"/>
      <c r="B285" s="91"/>
      <c r="C285" s="91"/>
      <c r="D285" s="91"/>
      <c r="E285" s="91"/>
      <c r="F285" s="91"/>
      <c r="G285" s="91"/>
      <c r="H285" s="18"/>
      <c r="I285" s="171"/>
      <c r="J285" s="195"/>
      <c r="K285" s="18"/>
      <c r="L285" s="304"/>
      <c r="M285" s="304"/>
      <c r="N285" s="304"/>
      <c r="O285" s="195"/>
      <c r="P285" s="211"/>
      <c r="Q285" s="195"/>
      <c r="R285" s="143"/>
      <c r="S285" s="240"/>
      <c r="T285" s="143"/>
      <c r="U285" s="240"/>
      <c r="V285" s="143"/>
      <c r="W285" s="92"/>
      <c r="X285" s="92"/>
      <c r="Y285" s="94"/>
      <c r="Z285" s="91"/>
      <c r="AA285" s="92"/>
      <c r="AB285" s="91"/>
      <c r="AC285" s="331"/>
      <c r="AD285" s="331"/>
      <c r="AE285" s="33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1"/>
      <c r="AP285" s="120"/>
    </row>
    <row r="286" spans="1:42" s="22" customFormat="1" ht="67.5" customHeight="1" x14ac:dyDescent="0.55000000000000004">
      <c r="A286" s="27"/>
      <c r="B286" s="27"/>
      <c r="C286" s="27"/>
      <c r="D286" s="27"/>
      <c r="E286" s="27"/>
      <c r="F286" s="27"/>
      <c r="G286" s="27"/>
      <c r="H286" s="28"/>
      <c r="I286" s="196"/>
      <c r="J286" s="196"/>
      <c r="K286" s="28"/>
      <c r="L286" s="305"/>
      <c r="M286" s="305"/>
      <c r="N286" s="305"/>
      <c r="O286" s="196"/>
      <c r="P286" s="167">
        <f>P284</f>
        <v>0</v>
      </c>
      <c r="Q286" s="196"/>
      <c r="R286" s="166">
        <f>R284+R256+R253</f>
        <v>0.5</v>
      </c>
      <c r="S286" s="133">
        <f t="shared" ref="S286:U286" si="175">S284</f>
        <v>947113.83499999996</v>
      </c>
      <c r="T286" s="166">
        <f>T284+T256+T253</f>
        <v>0.5</v>
      </c>
      <c r="U286" s="133">
        <f t="shared" si="175"/>
        <v>947113.83499999996</v>
      </c>
      <c r="V286" s="196"/>
      <c r="W286" s="337" t="s">
        <v>22</v>
      </c>
      <c r="X286" s="338"/>
      <c r="Y286" s="338"/>
      <c r="Z286" s="338"/>
      <c r="AA286" s="183" t="s">
        <v>20</v>
      </c>
      <c r="AB286" s="133">
        <f t="shared" ref="AB286:AE286" si="176">AB284</f>
        <v>1894227.67</v>
      </c>
      <c r="AC286" s="133">
        <f t="shared" si="176"/>
        <v>0</v>
      </c>
      <c r="AD286" s="133">
        <f t="shared" si="176"/>
        <v>0</v>
      </c>
      <c r="AE286" s="133">
        <f t="shared" si="176"/>
        <v>0</v>
      </c>
      <c r="AF286" s="133">
        <f>AF284</f>
        <v>1894227.67</v>
      </c>
      <c r="AG286" s="133">
        <f t="shared" ref="AG286:AP286" si="177">AG284</f>
        <v>0</v>
      </c>
      <c r="AH286" s="133">
        <f t="shared" si="177"/>
        <v>0</v>
      </c>
      <c r="AI286" s="133">
        <f t="shared" si="177"/>
        <v>0</v>
      </c>
      <c r="AJ286" s="133">
        <f t="shared" si="177"/>
        <v>0</v>
      </c>
      <c r="AK286" s="133">
        <f t="shared" si="177"/>
        <v>894227.66999999993</v>
      </c>
      <c r="AL286" s="133">
        <f t="shared" si="177"/>
        <v>0</v>
      </c>
      <c r="AM286" s="133">
        <f t="shared" si="177"/>
        <v>1000000</v>
      </c>
      <c r="AN286" s="133">
        <f t="shared" si="177"/>
        <v>0</v>
      </c>
      <c r="AO286" s="133">
        <f t="shared" si="177"/>
        <v>0</v>
      </c>
      <c r="AP286" s="295">
        <f t="shared" si="177"/>
        <v>0</v>
      </c>
    </row>
    <row r="287" spans="1:42" s="13" customFormat="1" ht="27" customHeight="1" x14ac:dyDescent="0.55000000000000004">
      <c r="A287" s="16"/>
      <c r="B287" s="17"/>
      <c r="C287" s="17"/>
      <c r="D287" s="17"/>
      <c r="E287" s="17"/>
      <c r="F287" s="17"/>
      <c r="G287" s="17"/>
      <c r="H287" s="18"/>
      <c r="I287" s="19"/>
      <c r="J287" s="195"/>
      <c r="K287" s="18"/>
      <c r="L287" s="304"/>
      <c r="M287" s="304"/>
      <c r="N287" s="304"/>
      <c r="O287" s="195"/>
      <c r="P287" s="142"/>
      <c r="Q287" s="195"/>
      <c r="R287" s="142"/>
      <c r="S287" s="239"/>
      <c r="T287" s="142"/>
      <c r="U287" s="239"/>
      <c r="V287" s="195"/>
      <c r="W287" s="18"/>
      <c r="X287" s="18"/>
      <c r="Y287" s="63"/>
      <c r="Z287" s="22"/>
      <c r="AA287" s="22"/>
      <c r="AC287" s="20"/>
      <c r="AD287" s="20"/>
      <c r="AE287" s="20"/>
      <c r="AF287" s="20"/>
      <c r="AG287" s="20"/>
      <c r="AH287" s="20"/>
      <c r="AI287" s="20"/>
      <c r="AJ287" s="20"/>
      <c r="AK287" s="22"/>
      <c r="AL287" s="22"/>
      <c r="AM287" s="22"/>
      <c r="AN287" s="20"/>
      <c r="AO287" s="20"/>
      <c r="AP287" s="32"/>
    </row>
    <row r="288" spans="1:42" s="96" customFormat="1" x14ac:dyDescent="0.55000000000000004">
      <c r="A288" s="16"/>
      <c r="B288" s="17"/>
      <c r="C288" s="17"/>
      <c r="D288" s="17"/>
      <c r="E288" s="17"/>
      <c r="F288" s="17"/>
      <c r="G288" s="17"/>
      <c r="H288" s="18"/>
      <c r="I288" s="19"/>
      <c r="J288" s="195"/>
      <c r="K288" s="18"/>
      <c r="L288" s="304"/>
      <c r="M288" s="304"/>
      <c r="N288" s="304"/>
      <c r="O288" s="195"/>
      <c r="P288" s="142"/>
      <c r="Q288" s="195"/>
      <c r="R288" s="142"/>
      <c r="S288" s="239"/>
      <c r="T288" s="142"/>
      <c r="U288" s="239"/>
      <c r="V288" s="195"/>
      <c r="W288" s="23"/>
      <c r="X288" s="18"/>
      <c r="Y288" s="114"/>
      <c r="Z288" s="92"/>
      <c r="AA288" s="92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4"/>
      <c r="AN288" s="103"/>
      <c r="AO288" s="20"/>
      <c r="AP288" s="32"/>
    </row>
    <row r="289" spans="1:42" s="106" customFormat="1" ht="43.5" customHeight="1" x14ac:dyDescent="0.2">
      <c r="A289" s="85" t="s">
        <v>138</v>
      </c>
      <c r="B289" s="105"/>
      <c r="C289" s="105"/>
      <c r="D289" s="105"/>
      <c r="E289" s="105"/>
      <c r="F289" s="105"/>
      <c r="G289" s="105"/>
      <c r="H289" s="105"/>
      <c r="J289" s="139"/>
      <c r="K289" s="91"/>
      <c r="L289" s="322"/>
      <c r="M289" s="322"/>
      <c r="N289" s="322"/>
      <c r="O289" s="139"/>
      <c r="P289" s="139"/>
      <c r="Q289" s="139"/>
      <c r="R289" s="139"/>
      <c r="S289" s="235"/>
      <c r="T289" s="139"/>
      <c r="U289" s="235"/>
      <c r="V289" s="139"/>
      <c r="Y289" s="111"/>
      <c r="Z289" s="60"/>
      <c r="AA289" s="60"/>
      <c r="AC289" s="107"/>
      <c r="AD289" s="107"/>
      <c r="AE289" s="107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</row>
    <row r="290" spans="1:42" s="13" customFormat="1" ht="158.25" customHeight="1" x14ac:dyDescent="0.45">
      <c r="A290" s="73" t="s">
        <v>308</v>
      </c>
      <c r="B290" s="73"/>
      <c r="C290" s="74"/>
      <c r="D290" s="74" t="s">
        <v>20</v>
      </c>
      <c r="E290" s="74" t="s">
        <v>20</v>
      </c>
      <c r="F290" s="74" t="s">
        <v>20</v>
      </c>
      <c r="G290" s="74" t="s">
        <v>20</v>
      </c>
      <c r="H290" s="121" t="s">
        <v>30</v>
      </c>
      <c r="I290" s="73" t="s">
        <v>29</v>
      </c>
      <c r="J290" s="194"/>
      <c r="K290" s="121"/>
      <c r="L290" s="314"/>
      <c r="M290" s="314"/>
      <c r="N290" s="314"/>
      <c r="O290" s="194"/>
      <c r="P290" s="278"/>
      <c r="Q290" s="194"/>
      <c r="R290" s="141">
        <v>1</v>
      </c>
      <c r="S290" s="237">
        <f>AF290</f>
        <v>1396853.42</v>
      </c>
      <c r="T290" s="141"/>
      <c r="U290" s="237"/>
      <c r="V290" s="280"/>
      <c r="W290" s="73" t="s">
        <v>21</v>
      </c>
      <c r="X290" s="73" t="s">
        <v>21</v>
      </c>
      <c r="Y290" s="152" t="s">
        <v>20</v>
      </c>
      <c r="Z290" s="153" t="s">
        <v>20</v>
      </c>
      <c r="AA290" s="153" t="s">
        <v>20</v>
      </c>
      <c r="AB290" s="76">
        <v>1396853.42</v>
      </c>
      <c r="AC290" s="330"/>
      <c r="AD290" s="330"/>
      <c r="AE290" s="330"/>
      <c r="AF290" s="76">
        <f>SUM(AG290:AO290)</f>
        <v>1396853.42</v>
      </c>
      <c r="AG290" s="153"/>
      <c r="AH290" s="153"/>
      <c r="AI290" s="153"/>
      <c r="AJ290" s="153"/>
      <c r="AK290" s="153"/>
      <c r="AL290" s="153"/>
      <c r="AM290" s="153">
        <v>1396853.42</v>
      </c>
      <c r="AN290" s="153"/>
      <c r="AO290" s="153"/>
      <c r="AP290" s="162"/>
    </row>
    <row r="291" spans="1:42" s="13" customFormat="1" ht="63" customHeight="1" x14ac:dyDescent="0.55000000000000004">
      <c r="A291" s="14"/>
      <c r="B291" s="14"/>
      <c r="C291" s="14"/>
      <c r="D291" s="14"/>
      <c r="E291" s="14"/>
      <c r="F291" s="14"/>
      <c r="G291" s="14"/>
      <c r="I291" s="15"/>
      <c r="K291" s="288"/>
      <c r="L291" s="299"/>
      <c r="M291" s="299"/>
      <c r="N291" s="299"/>
      <c r="O291" s="288"/>
      <c r="P291" s="315">
        <f>SUM(P290)</f>
        <v>0</v>
      </c>
      <c r="Q291" s="202"/>
      <c r="R291" s="151">
        <f>SUM(R290)</f>
        <v>1</v>
      </c>
      <c r="S291" s="238">
        <f t="shared" ref="S291" si="178">SUM(S290)</f>
        <v>1396853.42</v>
      </c>
      <c r="T291" s="151">
        <f>SUM(T290)</f>
        <v>0</v>
      </c>
      <c r="U291" s="238">
        <f t="shared" ref="U291" si="179">SUM(U290)</f>
        <v>0</v>
      </c>
      <c r="V291" s="207"/>
      <c r="W291" s="201"/>
      <c r="X291" s="201"/>
      <c r="Y291" s="208"/>
      <c r="Z291" s="201"/>
      <c r="AA291" s="15"/>
      <c r="AB291" s="89">
        <f t="shared" ref="AB291:AE291" si="180">SUM(AB290)</f>
        <v>1396853.42</v>
      </c>
      <c r="AC291" s="238">
        <f t="shared" si="180"/>
        <v>0</v>
      </c>
      <c r="AD291" s="238">
        <f t="shared" si="180"/>
        <v>0</v>
      </c>
      <c r="AE291" s="238">
        <f t="shared" si="180"/>
        <v>0</v>
      </c>
      <c r="AF291" s="89">
        <f>SUM(AF290)</f>
        <v>1396853.42</v>
      </c>
      <c r="AG291" s="115">
        <f t="shared" ref="AG291:AO291" si="181">SUM(AG290)</f>
        <v>0</v>
      </c>
      <c r="AH291" s="115">
        <f t="shared" si="181"/>
        <v>0</v>
      </c>
      <c r="AI291" s="115">
        <f t="shared" si="181"/>
        <v>0</v>
      </c>
      <c r="AJ291" s="115">
        <f t="shared" si="181"/>
        <v>0</v>
      </c>
      <c r="AK291" s="115">
        <f t="shared" si="181"/>
        <v>0</v>
      </c>
      <c r="AL291" s="115">
        <f t="shared" si="181"/>
        <v>0</v>
      </c>
      <c r="AM291" s="115">
        <f t="shared" si="181"/>
        <v>1396853.42</v>
      </c>
      <c r="AN291" s="115">
        <f t="shared" si="181"/>
        <v>0</v>
      </c>
      <c r="AO291" s="115">
        <f t="shared" si="181"/>
        <v>0</v>
      </c>
      <c r="AP291" s="294">
        <f t="shared" ref="AP291" si="182">SUM(AP290)</f>
        <v>0</v>
      </c>
    </row>
    <row r="292" spans="1:42" s="96" customFormat="1" ht="24" customHeight="1" x14ac:dyDescent="0.55000000000000004">
      <c r="A292" s="90"/>
      <c r="B292" s="91"/>
      <c r="C292" s="91"/>
      <c r="D292" s="91"/>
      <c r="E292" s="91"/>
      <c r="F292" s="91"/>
      <c r="G292" s="91"/>
      <c r="H292" s="18"/>
      <c r="I292" s="171"/>
      <c r="J292" s="195"/>
      <c r="K292" s="18"/>
      <c r="L292" s="304"/>
      <c r="M292" s="304"/>
      <c r="N292" s="304"/>
      <c r="O292" s="195"/>
      <c r="P292" s="211"/>
      <c r="Q292" s="195"/>
      <c r="R292" s="143"/>
      <c r="S292" s="240"/>
      <c r="T292" s="143"/>
      <c r="U292" s="240"/>
      <c r="V292" s="143"/>
      <c r="W292" s="92"/>
      <c r="X292" s="92"/>
      <c r="Y292" s="94"/>
      <c r="Z292" s="91"/>
      <c r="AA292" s="92"/>
      <c r="AB292" s="91"/>
      <c r="AC292" s="331"/>
      <c r="AD292" s="331"/>
      <c r="AE292" s="33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120"/>
    </row>
    <row r="293" spans="1:42" s="22" customFormat="1" ht="67.5" customHeight="1" x14ac:dyDescent="0.55000000000000004">
      <c r="A293" s="27"/>
      <c r="B293" s="27"/>
      <c r="C293" s="27"/>
      <c r="D293" s="27"/>
      <c r="E293" s="27"/>
      <c r="F293" s="27"/>
      <c r="G293" s="27"/>
      <c r="H293" s="28"/>
      <c r="I293" s="196"/>
      <c r="J293" s="196"/>
      <c r="K293" s="28"/>
      <c r="L293" s="305"/>
      <c r="M293" s="305"/>
      <c r="N293" s="305"/>
      <c r="O293" s="196"/>
      <c r="P293" s="167">
        <f>P291</f>
        <v>0</v>
      </c>
      <c r="Q293" s="196"/>
      <c r="R293" s="166">
        <f>R291+R288+R285</f>
        <v>1</v>
      </c>
      <c r="S293" s="133">
        <f t="shared" ref="S293" si="183">S291</f>
        <v>1396853.42</v>
      </c>
      <c r="T293" s="166">
        <f>T291+T288+T285</f>
        <v>0</v>
      </c>
      <c r="U293" s="133">
        <f t="shared" ref="U293" si="184">U291</f>
        <v>0</v>
      </c>
      <c r="V293" s="196"/>
      <c r="W293" s="337" t="s">
        <v>22</v>
      </c>
      <c r="X293" s="338"/>
      <c r="Y293" s="338"/>
      <c r="Z293" s="338"/>
      <c r="AA293" s="183" t="s">
        <v>20</v>
      </c>
      <c r="AB293" s="133">
        <f t="shared" ref="AB293:AE293" si="185">AB291</f>
        <v>1396853.42</v>
      </c>
      <c r="AC293" s="133">
        <f t="shared" si="185"/>
        <v>0</v>
      </c>
      <c r="AD293" s="133">
        <f t="shared" si="185"/>
        <v>0</v>
      </c>
      <c r="AE293" s="133">
        <f t="shared" si="185"/>
        <v>0</v>
      </c>
      <c r="AF293" s="133">
        <f>AF291</f>
        <v>1396853.42</v>
      </c>
      <c r="AG293" s="133">
        <f t="shared" ref="AG293:AO293" si="186">AG291</f>
        <v>0</v>
      </c>
      <c r="AH293" s="133">
        <f t="shared" si="186"/>
        <v>0</v>
      </c>
      <c r="AI293" s="133">
        <f t="shared" si="186"/>
        <v>0</v>
      </c>
      <c r="AJ293" s="133">
        <f t="shared" si="186"/>
        <v>0</v>
      </c>
      <c r="AK293" s="133">
        <f t="shared" si="186"/>
        <v>0</v>
      </c>
      <c r="AL293" s="133">
        <f t="shared" si="186"/>
        <v>0</v>
      </c>
      <c r="AM293" s="133">
        <f t="shared" si="186"/>
        <v>1396853.42</v>
      </c>
      <c r="AN293" s="133">
        <f t="shared" si="186"/>
        <v>0</v>
      </c>
      <c r="AO293" s="133">
        <f t="shared" si="186"/>
        <v>0</v>
      </c>
      <c r="AP293" s="295">
        <f t="shared" ref="AP293" si="187">AP291</f>
        <v>0</v>
      </c>
    </row>
    <row r="294" spans="1:42" s="13" customFormat="1" ht="27" customHeight="1" x14ac:dyDescent="0.55000000000000004">
      <c r="A294" s="16"/>
      <c r="B294" s="17"/>
      <c r="C294" s="17"/>
      <c r="D294" s="17"/>
      <c r="E294" s="17"/>
      <c r="F294" s="17"/>
      <c r="G294" s="17"/>
      <c r="H294" s="18"/>
      <c r="I294" s="19"/>
      <c r="J294" s="195"/>
      <c r="K294" s="18"/>
      <c r="L294" s="304"/>
      <c r="M294" s="304"/>
      <c r="N294" s="304"/>
      <c r="O294" s="195"/>
      <c r="P294" s="142"/>
      <c r="Q294" s="195"/>
      <c r="R294" s="142"/>
      <c r="S294" s="239"/>
      <c r="T294" s="142"/>
      <c r="U294" s="239"/>
      <c r="V294" s="195"/>
      <c r="W294" s="18"/>
      <c r="X294" s="18"/>
      <c r="Y294" s="63"/>
      <c r="Z294" s="22"/>
      <c r="AA294" s="22"/>
      <c r="AC294" s="20"/>
      <c r="AD294" s="20"/>
      <c r="AE294" s="20"/>
      <c r="AF294" s="20"/>
      <c r="AG294" s="20"/>
      <c r="AH294" s="20"/>
      <c r="AI294" s="20"/>
      <c r="AJ294" s="20"/>
      <c r="AK294" s="22"/>
      <c r="AL294" s="22"/>
      <c r="AM294" s="22"/>
      <c r="AN294" s="20"/>
      <c r="AO294" s="20"/>
      <c r="AP294" s="32"/>
    </row>
    <row r="295" spans="1:42" s="96" customFormat="1" x14ac:dyDescent="0.55000000000000004">
      <c r="A295" s="16"/>
      <c r="B295" s="17"/>
      <c r="C295" s="17"/>
      <c r="D295" s="17"/>
      <c r="E295" s="17"/>
      <c r="F295" s="17"/>
      <c r="G295" s="17"/>
      <c r="H295" s="18"/>
      <c r="I295" s="19"/>
      <c r="J295" s="195"/>
      <c r="K295" s="18"/>
      <c r="L295" s="304"/>
      <c r="M295" s="304"/>
      <c r="N295" s="304"/>
      <c r="O295" s="195"/>
      <c r="P295" s="142"/>
      <c r="Q295" s="195"/>
      <c r="R295" s="142"/>
      <c r="S295" s="239"/>
      <c r="T295" s="142"/>
      <c r="U295" s="239"/>
      <c r="V295" s="195"/>
      <c r="W295" s="23"/>
      <c r="X295" s="18"/>
      <c r="Y295" s="114"/>
      <c r="Z295" s="92"/>
      <c r="AA295" s="92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4"/>
      <c r="AN295" s="103"/>
      <c r="AO295" s="20"/>
      <c r="AP295" s="32"/>
    </row>
    <row r="296" spans="1:42" s="106" customFormat="1" ht="43.5" customHeight="1" x14ac:dyDescent="0.2">
      <c r="A296" s="85" t="s">
        <v>139</v>
      </c>
      <c r="B296" s="105"/>
      <c r="C296" s="105"/>
      <c r="D296" s="105"/>
      <c r="E296" s="105"/>
      <c r="F296" s="105"/>
      <c r="G296" s="105"/>
      <c r="H296" s="105"/>
      <c r="J296" s="139"/>
      <c r="K296" s="91"/>
      <c r="L296" s="322"/>
      <c r="M296" s="322"/>
      <c r="N296" s="322"/>
      <c r="O296" s="139"/>
      <c r="P296" s="139"/>
      <c r="Q296" s="139"/>
      <c r="R296" s="139"/>
      <c r="S296" s="235"/>
      <c r="T296" s="139"/>
      <c r="U296" s="235"/>
      <c r="V296" s="139"/>
      <c r="Y296" s="111"/>
      <c r="Z296" s="60"/>
      <c r="AA296" s="60"/>
      <c r="AC296" s="107"/>
      <c r="AD296" s="107"/>
      <c r="AE296" s="107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</row>
    <row r="297" spans="1:42" s="13" customFormat="1" ht="158.25" customHeight="1" x14ac:dyDescent="0.45">
      <c r="A297" s="73" t="s">
        <v>309</v>
      </c>
      <c r="B297" s="73"/>
      <c r="C297" s="74"/>
      <c r="D297" s="74" t="s">
        <v>20</v>
      </c>
      <c r="E297" s="74" t="s">
        <v>20</v>
      </c>
      <c r="F297" s="74" t="s">
        <v>20</v>
      </c>
      <c r="G297" s="74" t="s">
        <v>20</v>
      </c>
      <c r="H297" s="121" t="s">
        <v>141</v>
      </c>
      <c r="I297" s="73" t="s">
        <v>29</v>
      </c>
      <c r="J297" s="194"/>
      <c r="K297" s="121"/>
      <c r="L297" s="314"/>
      <c r="M297" s="314"/>
      <c r="N297" s="314"/>
      <c r="O297" s="194"/>
      <c r="P297" s="278"/>
      <c r="Q297" s="194"/>
      <c r="R297" s="210">
        <v>0.5</v>
      </c>
      <c r="S297" s="237">
        <f>AF297/2</f>
        <v>301100</v>
      </c>
      <c r="T297" s="210">
        <v>0.5</v>
      </c>
      <c r="U297" s="237">
        <f>AF297/2</f>
        <v>301100</v>
      </c>
      <c r="V297" s="194"/>
      <c r="W297" s="73" t="s">
        <v>21</v>
      </c>
      <c r="X297" s="73" t="s">
        <v>21</v>
      </c>
      <c r="Y297" s="152" t="s">
        <v>20</v>
      </c>
      <c r="Z297" s="153" t="s">
        <v>20</v>
      </c>
      <c r="AA297" s="153" t="s">
        <v>20</v>
      </c>
      <c r="AB297" s="76">
        <v>602200</v>
      </c>
      <c r="AC297" s="330"/>
      <c r="AD297" s="330"/>
      <c r="AE297" s="330"/>
      <c r="AF297" s="76">
        <f>SUM(AG297:AO297)</f>
        <v>602200</v>
      </c>
      <c r="AG297" s="153"/>
      <c r="AH297" s="153"/>
      <c r="AI297" s="153"/>
      <c r="AJ297" s="153"/>
      <c r="AK297" s="153"/>
      <c r="AL297" s="153"/>
      <c r="AM297" s="153">
        <v>602200</v>
      </c>
      <c r="AN297" s="153"/>
      <c r="AO297" s="153"/>
      <c r="AP297" s="162"/>
    </row>
    <row r="298" spans="1:42" s="13" customFormat="1" ht="63" customHeight="1" x14ac:dyDescent="0.55000000000000004">
      <c r="A298" s="14"/>
      <c r="B298" s="14"/>
      <c r="C298" s="14"/>
      <c r="D298" s="14"/>
      <c r="E298" s="14"/>
      <c r="F298" s="14"/>
      <c r="G298" s="14"/>
      <c r="I298" s="15"/>
      <c r="K298" s="288"/>
      <c r="L298" s="299"/>
      <c r="M298" s="299"/>
      <c r="N298" s="299"/>
      <c r="O298" s="288"/>
      <c r="P298" s="315">
        <f>SUM(P297)</f>
        <v>0</v>
      </c>
      <c r="Q298" s="202"/>
      <c r="R298" s="151">
        <f>SUM(R297)</f>
        <v>0.5</v>
      </c>
      <c r="S298" s="238">
        <f t="shared" ref="S298" si="188">SUM(S297)</f>
        <v>301100</v>
      </c>
      <c r="T298" s="151">
        <f>SUM(T297)</f>
        <v>0.5</v>
      </c>
      <c r="U298" s="238">
        <f t="shared" ref="U298" si="189">SUM(U297)</f>
        <v>301100</v>
      </c>
      <c r="V298" s="207"/>
      <c r="W298" s="201"/>
      <c r="X298" s="201"/>
      <c r="Y298" s="208"/>
      <c r="Z298" s="201"/>
      <c r="AA298" s="15"/>
      <c r="AB298" s="89">
        <f t="shared" ref="AB298:AE298" si="190">SUM(AB297)</f>
        <v>602200</v>
      </c>
      <c r="AC298" s="238">
        <f t="shared" si="190"/>
        <v>0</v>
      </c>
      <c r="AD298" s="238">
        <f t="shared" si="190"/>
        <v>0</v>
      </c>
      <c r="AE298" s="238">
        <f t="shared" si="190"/>
        <v>0</v>
      </c>
      <c r="AF298" s="89">
        <f>SUM(AF297)</f>
        <v>602200</v>
      </c>
      <c r="AG298" s="115">
        <f t="shared" ref="AG298:AO298" si="191">SUM(AG297)</f>
        <v>0</v>
      </c>
      <c r="AH298" s="115">
        <f t="shared" si="191"/>
        <v>0</v>
      </c>
      <c r="AI298" s="115">
        <f t="shared" si="191"/>
        <v>0</v>
      </c>
      <c r="AJ298" s="115">
        <f t="shared" si="191"/>
        <v>0</v>
      </c>
      <c r="AK298" s="115">
        <f t="shared" si="191"/>
        <v>0</v>
      </c>
      <c r="AL298" s="115">
        <f t="shared" si="191"/>
        <v>0</v>
      </c>
      <c r="AM298" s="115">
        <f t="shared" si="191"/>
        <v>602200</v>
      </c>
      <c r="AN298" s="115">
        <f t="shared" si="191"/>
        <v>0</v>
      </c>
      <c r="AO298" s="115">
        <f t="shared" si="191"/>
        <v>0</v>
      </c>
      <c r="AP298" s="294">
        <f t="shared" ref="AP298" si="192">SUM(AP297)</f>
        <v>0</v>
      </c>
    </row>
    <row r="299" spans="1:42" s="96" customFormat="1" ht="24" customHeight="1" x14ac:dyDescent="0.55000000000000004">
      <c r="A299" s="90"/>
      <c r="B299" s="91"/>
      <c r="C299" s="91"/>
      <c r="D299" s="91"/>
      <c r="E299" s="91"/>
      <c r="F299" s="91"/>
      <c r="G299" s="91"/>
      <c r="H299" s="18"/>
      <c r="I299" s="171"/>
      <c r="J299" s="195"/>
      <c r="K299" s="18"/>
      <c r="L299" s="304"/>
      <c r="M299" s="304"/>
      <c r="N299" s="304"/>
      <c r="O299" s="195"/>
      <c r="P299" s="211"/>
      <c r="Q299" s="195"/>
      <c r="R299" s="143"/>
      <c r="S299" s="240"/>
      <c r="T299" s="143"/>
      <c r="U299" s="240"/>
      <c r="V299" s="143"/>
      <c r="W299" s="92"/>
      <c r="X299" s="92"/>
      <c r="Y299" s="94"/>
      <c r="Z299" s="91"/>
      <c r="AA299" s="92"/>
      <c r="AB299" s="91"/>
      <c r="AC299" s="331"/>
      <c r="AD299" s="331"/>
      <c r="AE299" s="33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120"/>
    </row>
    <row r="300" spans="1:42" s="22" customFormat="1" ht="67.5" customHeight="1" x14ac:dyDescent="0.55000000000000004">
      <c r="A300" s="27"/>
      <c r="B300" s="27"/>
      <c r="C300" s="27"/>
      <c r="D300" s="27"/>
      <c r="E300" s="27"/>
      <c r="F300" s="27"/>
      <c r="G300" s="27"/>
      <c r="H300" s="28"/>
      <c r="I300" s="196"/>
      <c r="J300" s="196"/>
      <c r="K300" s="28"/>
      <c r="L300" s="305"/>
      <c r="M300" s="305"/>
      <c r="N300" s="305"/>
      <c r="O300" s="196"/>
      <c r="P300" s="167">
        <f>P298</f>
        <v>0</v>
      </c>
      <c r="Q300" s="196"/>
      <c r="R300" s="166">
        <f>R298+R295+R292</f>
        <v>0.5</v>
      </c>
      <c r="S300" s="133">
        <f t="shared" ref="S300" si="193">S298</f>
        <v>301100</v>
      </c>
      <c r="T300" s="166">
        <f>T298+T295+T292</f>
        <v>0.5</v>
      </c>
      <c r="U300" s="133">
        <f t="shared" ref="U300" si="194">U298</f>
        <v>301100</v>
      </c>
      <c r="V300" s="196"/>
      <c r="W300" s="337" t="s">
        <v>22</v>
      </c>
      <c r="X300" s="338"/>
      <c r="Y300" s="338"/>
      <c r="Z300" s="338"/>
      <c r="AA300" s="183" t="s">
        <v>20</v>
      </c>
      <c r="AB300" s="133">
        <f t="shared" ref="AB300:AE300" si="195">AB298</f>
        <v>602200</v>
      </c>
      <c r="AC300" s="133">
        <f t="shared" si="195"/>
        <v>0</v>
      </c>
      <c r="AD300" s="133">
        <f t="shared" si="195"/>
        <v>0</v>
      </c>
      <c r="AE300" s="133">
        <f t="shared" si="195"/>
        <v>0</v>
      </c>
      <c r="AF300" s="133">
        <f>AF298</f>
        <v>602200</v>
      </c>
      <c r="AG300" s="133">
        <f t="shared" ref="AG300:AO300" si="196">AG298</f>
        <v>0</v>
      </c>
      <c r="AH300" s="133">
        <f t="shared" si="196"/>
        <v>0</v>
      </c>
      <c r="AI300" s="133">
        <f t="shared" si="196"/>
        <v>0</v>
      </c>
      <c r="AJ300" s="133">
        <f t="shared" si="196"/>
        <v>0</v>
      </c>
      <c r="AK300" s="133">
        <f t="shared" si="196"/>
        <v>0</v>
      </c>
      <c r="AL300" s="133">
        <f t="shared" si="196"/>
        <v>0</v>
      </c>
      <c r="AM300" s="133">
        <f t="shared" si="196"/>
        <v>602200</v>
      </c>
      <c r="AN300" s="133">
        <f t="shared" si="196"/>
        <v>0</v>
      </c>
      <c r="AO300" s="133">
        <f t="shared" si="196"/>
        <v>0</v>
      </c>
      <c r="AP300" s="295">
        <f t="shared" ref="AP300" si="197">AP298</f>
        <v>0</v>
      </c>
    </row>
    <row r="301" spans="1:42" s="13" customFormat="1" ht="27" customHeight="1" x14ac:dyDescent="0.55000000000000004">
      <c r="A301" s="16"/>
      <c r="B301" s="17"/>
      <c r="C301" s="17"/>
      <c r="D301" s="17"/>
      <c r="E301" s="17"/>
      <c r="F301" s="17"/>
      <c r="G301" s="17"/>
      <c r="H301" s="18"/>
      <c r="I301" s="19"/>
      <c r="J301" s="195"/>
      <c r="K301" s="18"/>
      <c r="L301" s="304"/>
      <c r="M301" s="304"/>
      <c r="N301" s="304"/>
      <c r="O301" s="195"/>
      <c r="P301" s="142"/>
      <c r="Q301" s="195"/>
      <c r="R301" s="142"/>
      <c r="S301" s="239"/>
      <c r="T301" s="142"/>
      <c r="U301" s="239"/>
      <c r="V301" s="195"/>
      <c r="W301" s="18"/>
      <c r="X301" s="18"/>
      <c r="Y301" s="63"/>
      <c r="Z301" s="22"/>
      <c r="AA301" s="22"/>
      <c r="AB301" s="20"/>
      <c r="AC301" s="20"/>
      <c r="AD301" s="20"/>
      <c r="AE301" s="20"/>
      <c r="AF301" s="20"/>
      <c r="AG301" s="20"/>
      <c r="AH301" s="20"/>
      <c r="AI301" s="20"/>
      <c r="AJ301" s="20"/>
      <c r="AK301" s="22"/>
      <c r="AL301" s="22"/>
      <c r="AM301" s="22"/>
      <c r="AN301" s="20"/>
      <c r="AO301" s="20"/>
      <c r="AP301" s="32"/>
    </row>
    <row r="302" spans="1:42" s="96" customFormat="1" x14ac:dyDescent="0.55000000000000004">
      <c r="A302" s="16"/>
      <c r="B302" s="17"/>
      <c r="C302" s="17"/>
      <c r="D302" s="17"/>
      <c r="E302" s="17"/>
      <c r="F302" s="17"/>
      <c r="G302" s="17"/>
      <c r="H302" s="18"/>
      <c r="I302" s="19"/>
      <c r="J302" s="195"/>
      <c r="K302" s="18"/>
      <c r="L302" s="304"/>
      <c r="M302" s="304"/>
      <c r="N302" s="304"/>
      <c r="O302" s="195"/>
      <c r="P302" s="142"/>
      <c r="Q302" s="195"/>
      <c r="R302" s="142"/>
      <c r="S302" s="239"/>
      <c r="T302" s="142"/>
      <c r="U302" s="239"/>
      <c r="V302" s="195"/>
      <c r="W302" s="23"/>
      <c r="X302" s="18"/>
      <c r="Y302" s="114"/>
      <c r="Z302" s="92"/>
      <c r="AA302" s="92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4"/>
      <c r="AN302" s="103"/>
      <c r="AO302" s="20"/>
      <c r="AP302" s="32"/>
    </row>
    <row r="303" spans="1:42" s="106" customFormat="1" ht="43.5" customHeight="1" x14ac:dyDescent="0.2">
      <c r="A303" s="85" t="s">
        <v>140</v>
      </c>
      <c r="B303" s="105"/>
      <c r="C303" s="105"/>
      <c r="D303" s="105"/>
      <c r="E303" s="105"/>
      <c r="F303" s="105"/>
      <c r="G303" s="105"/>
      <c r="H303" s="105"/>
      <c r="J303" s="139"/>
      <c r="K303" s="91"/>
      <c r="L303" s="322"/>
      <c r="M303" s="322"/>
      <c r="N303" s="322"/>
      <c r="O303" s="139"/>
      <c r="P303" s="139"/>
      <c r="Q303" s="139"/>
      <c r="R303" s="139"/>
      <c r="S303" s="235"/>
      <c r="T303" s="139"/>
      <c r="U303" s="235"/>
      <c r="V303" s="139"/>
      <c r="Y303" s="111"/>
      <c r="Z303" s="60"/>
      <c r="AA303" s="60"/>
      <c r="AB303" s="60"/>
      <c r="AC303" s="107"/>
      <c r="AD303" s="107"/>
      <c r="AE303" s="107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</row>
    <row r="304" spans="1:42" s="13" customFormat="1" ht="158.25" customHeight="1" x14ac:dyDescent="0.45">
      <c r="A304" s="73" t="s">
        <v>310</v>
      </c>
      <c r="B304" s="73"/>
      <c r="C304" s="74"/>
      <c r="D304" s="74" t="s">
        <v>20</v>
      </c>
      <c r="E304" s="74" t="s">
        <v>20</v>
      </c>
      <c r="F304" s="74" t="s">
        <v>20</v>
      </c>
      <c r="G304" s="74" t="s">
        <v>20</v>
      </c>
      <c r="H304" s="121" t="s">
        <v>142</v>
      </c>
      <c r="I304" s="73" t="s">
        <v>29</v>
      </c>
      <c r="J304" s="194"/>
      <c r="K304" s="121"/>
      <c r="L304" s="314"/>
      <c r="M304" s="314"/>
      <c r="N304" s="314"/>
      <c r="O304" s="194"/>
      <c r="P304" s="272"/>
      <c r="Q304" s="194"/>
      <c r="R304" s="210"/>
      <c r="S304" s="237"/>
      <c r="T304" s="141">
        <v>1</v>
      </c>
      <c r="U304" s="237">
        <f>AF304</f>
        <v>200000</v>
      </c>
      <c r="V304" s="281"/>
      <c r="W304" s="73" t="s">
        <v>21</v>
      </c>
      <c r="X304" s="73" t="s">
        <v>21</v>
      </c>
      <c r="Y304" s="152" t="s">
        <v>20</v>
      </c>
      <c r="Z304" s="153" t="s">
        <v>20</v>
      </c>
      <c r="AA304" s="153" t="s">
        <v>20</v>
      </c>
      <c r="AB304" s="76">
        <v>200000</v>
      </c>
      <c r="AC304" s="330"/>
      <c r="AD304" s="330"/>
      <c r="AE304" s="330"/>
      <c r="AF304" s="76">
        <f>SUM(AG304:AO304)</f>
        <v>200000</v>
      </c>
      <c r="AG304" s="153"/>
      <c r="AH304" s="153"/>
      <c r="AI304" s="153"/>
      <c r="AJ304" s="153"/>
      <c r="AK304" s="153"/>
      <c r="AL304" s="153"/>
      <c r="AM304" s="153">
        <v>200000</v>
      </c>
      <c r="AN304" s="153"/>
      <c r="AO304" s="153"/>
      <c r="AP304" s="162"/>
    </row>
    <row r="305" spans="1:42" s="13" customFormat="1" ht="63" customHeight="1" x14ac:dyDescent="0.55000000000000004">
      <c r="A305" s="14"/>
      <c r="B305" s="14"/>
      <c r="C305" s="14"/>
      <c r="D305" s="14"/>
      <c r="E305" s="14"/>
      <c r="F305" s="14"/>
      <c r="G305" s="14"/>
      <c r="I305" s="15"/>
      <c r="K305" s="288"/>
      <c r="L305" s="299"/>
      <c r="M305" s="299"/>
      <c r="N305" s="299"/>
      <c r="O305" s="288"/>
      <c r="P305" s="315">
        <f>SUM(P304)</f>
        <v>0</v>
      </c>
      <c r="Q305" s="202"/>
      <c r="R305" s="151">
        <f>SUM(R304)</f>
        <v>0</v>
      </c>
      <c r="S305" s="238">
        <f t="shared" ref="S305" si="198">SUM(S304)</f>
        <v>0</v>
      </c>
      <c r="T305" s="151">
        <f>SUM(T304)</f>
        <v>1</v>
      </c>
      <c r="U305" s="238">
        <f t="shared" ref="U305" si="199">SUM(U304)</f>
        <v>200000</v>
      </c>
      <c r="V305" s="207"/>
      <c r="W305" s="201"/>
      <c r="X305" s="201"/>
      <c r="Y305" s="208"/>
      <c r="Z305" s="201"/>
      <c r="AA305" s="15"/>
      <c r="AB305" s="89">
        <f t="shared" ref="AB305:AE305" si="200">SUM(AB304)</f>
        <v>200000</v>
      </c>
      <c r="AC305" s="238">
        <f t="shared" si="200"/>
        <v>0</v>
      </c>
      <c r="AD305" s="238">
        <f t="shared" si="200"/>
        <v>0</v>
      </c>
      <c r="AE305" s="238">
        <f t="shared" si="200"/>
        <v>0</v>
      </c>
      <c r="AF305" s="89">
        <f>SUM(AF304)</f>
        <v>200000</v>
      </c>
      <c r="AG305" s="115">
        <f t="shared" ref="AG305:AO305" si="201">SUM(AG304)</f>
        <v>0</v>
      </c>
      <c r="AH305" s="115">
        <f t="shared" si="201"/>
        <v>0</v>
      </c>
      <c r="AI305" s="115">
        <f t="shared" si="201"/>
        <v>0</v>
      </c>
      <c r="AJ305" s="115">
        <f t="shared" si="201"/>
        <v>0</v>
      </c>
      <c r="AK305" s="115">
        <f t="shared" si="201"/>
        <v>0</v>
      </c>
      <c r="AL305" s="115">
        <f t="shared" si="201"/>
        <v>0</v>
      </c>
      <c r="AM305" s="115">
        <f t="shared" si="201"/>
        <v>200000</v>
      </c>
      <c r="AN305" s="115">
        <f t="shared" si="201"/>
        <v>0</v>
      </c>
      <c r="AO305" s="115">
        <f t="shared" si="201"/>
        <v>0</v>
      </c>
      <c r="AP305" s="156">
        <f t="shared" ref="AP305" si="202">SUM(AP304)</f>
        <v>0</v>
      </c>
    </row>
    <row r="306" spans="1:42" s="96" customFormat="1" ht="24" customHeight="1" x14ac:dyDescent="0.55000000000000004">
      <c r="A306" s="90"/>
      <c r="B306" s="91"/>
      <c r="C306" s="91"/>
      <c r="D306" s="91"/>
      <c r="E306" s="91"/>
      <c r="F306" s="91"/>
      <c r="G306" s="91"/>
      <c r="H306" s="18"/>
      <c r="I306" s="171"/>
      <c r="J306" s="195"/>
      <c r="K306" s="18"/>
      <c r="L306" s="304"/>
      <c r="M306" s="304"/>
      <c r="N306" s="304"/>
      <c r="O306" s="195"/>
      <c r="P306" s="211"/>
      <c r="Q306" s="195"/>
      <c r="R306" s="143"/>
      <c r="S306" s="240"/>
      <c r="T306" s="143"/>
      <c r="U306" s="240"/>
      <c r="V306" s="143"/>
      <c r="W306" s="92"/>
      <c r="X306" s="92"/>
      <c r="Y306" s="94"/>
      <c r="Z306" s="91"/>
      <c r="AA306" s="92"/>
      <c r="AB306" s="91"/>
      <c r="AC306" s="331"/>
      <c r="AD306" s="331"/>
      <c r="AE306" s="33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120"/>
    </row>
    <row r="307" spans="1:42" s="22" customFormat="1" ht="67.5" customHeight="1" x14ac:dyDescent="0.55000000000000004">
      <c r="A307" s="27"/>
      <c r="B307" s="27"/>
      <c r="C307" s="27"/>
      <c r="D307" s="27"/>
      <c r="E307" s="27"/>
      <c r="F307" s="27"/>
      <c r="G307" s="27"/>
      <c r="H307" s="28"/>
      <c r="I307" s="196"/>
      <c r="J307" s="196"/>
      <c r="K307" s="28"/>
      <c r="L307" s="305"/>
      <c r="M307" s="305"/>
      <c r="N307" s="305"/>
      <c r="O307" s="196"/>
      <c r="P307" s="167">
        <f>P305</f>
        <v>0</v>
      </c>
      <c r="Q307" s="196"/>
      <c r="R307" s="166">
        <f>R305+R302+R299</f>
        <v>0</v>
      </c>
      <c r="S307" s="133">
        <f t="shared" ref="S307" si="203">S305</f>
        <v>0</v>
      </c>
      <c r="T307" s="166">
        <f>T305+T302+T299</f>
        <v>1</v>
      </c>
      <c r="U307" s="133">
        <f t="shared" ref="U307" si="204">U305</f>
        <v>200000</v>
      </c>
      <c r="V307" s="196"/>
      <c r="W307" s="337" t="s">
        <v>22</v>
      </c>
      <c r="X307" s="338"/>
      <c r="Y307" s="338"/>
      <c r="Z307" s="338"/>
      <c r="AA307" s="183" t="s">
        <v>20</v>
      </c>
      <c r="AB307" s="133">
        <f t="shared" ref="AB307:AE307" si="205">AB305</f>
        <v>200000</v>
      </c>
      <c r="AC307" s="133">
        <f t="shared" si="205"/>
        <v>0</v>
      </c>
      <c r="AD307" s="133">
        <f t="shared" si="205"/>
        <v>0</v>
      </c>
      <c r="AE307" s="133">
        <f t="shared" si="205"/>
        <v>0</v>
      </c>
      <c r="AF307" s="133">
        <f>AF305</f>
        <v>200000</v>
      </c>
      <c r="AG307" s="133">
        <f t="shared" ref="AG307:AO307" si="206">AG305</f>
        <v>0</v>
      </c>
      <c r="AH307" s="133">
        <f t="shared" si="206"/>
        <v>0</v>
      </c>
      <c r="AI307" s="133">
        <f t="shared" si="206"/>
        <v>0</v>
      </c>
      <c r="AJ307" s="133">
        <f t="shared" si="206"/>
        <v>0</v>
      </c>
      <c r="AK307" s="133">
        <f t="shared" si="206"/>
        <v>0</v>
      </c>
      <c r="AL307" s="133">
        <f t="shared" si="206"/>
        <v>0</v>
      </c>
      <c r="AM307" s="133">
        <f t="shared" si="206"/>
        <v>200000</v>
      </c>
      <c r="AN307" s="133">
        <f t="shared" si="206"/>
        <v>0</v>
      </c>
      <c r="AO307" s="133">
        <f t="shared" si="206"/>
        <v>0</v>
      </c>
      <c r="AP307" s="32">
        <f t="shared" ref="AP307" si="207">AP305</f>
        <v>0</v>
      </c>
    </row>
    <row r="308" spans="1:42" s="13" customFormat="1" ht="36" customHeight="1" x14ac:dyDescent="0.55000000000000004">
      <c r="A308" s="16"/>
      <c r="B308" s="17"/>
      <c r="C308" s="17"/>
      <c r="D308" s="17"/>
      <c r="E308" s="17"/>
      <c r="F308" s="17"/>
      <c r="G308" s="17"/>
      <c r="H308" s="18"/>
      <c r="I308" s="171"/>
      <c r="J308" s="195"/>
      <c r="K308" s="288"/>
      <c r="L308" s="299"/>
      <c r="M308" s="299"/>
      <c r="N308" s="299"/>
      <c r="O308" s="195"/>
      <c r="P308" s="209"/>
      <c r="Q308" s="195"/>
      <c r="R308" s="120"/>
      <c r="S308" s="32"/>
      <c r="T308" s="120"/>
      <c r="U308" s="32"/>
      <c r="V308" s="195"/>
      <c r="W308" s="19"/>
      <c r="X308" s="18"/>
      <c r="Y308" s="113"/>
      <c r="Z308" s="21"/>
      <c r="AA308" s="21"/>
      <c r="AB308" s="120"/>
      <c r="AC308" s="32"/>
      <c r="AD308" s="32"/>
      <c r="AE308" s="32"/>
      <c r="AF308" s="120"/>
      <c r="AG308" s="21"/>
      <c r="AH308" s="21"/>
      <c r="AI308" s="21"/>
      <c r="AJ308" s="21"/>
      <c r="AK308" s="21"/>
      <c r="AL308" s="21"/>
      <c r="AM308" s="21"/>
      <c r="AN308" s="21"/>
      <c r="AO308" s="21"/>
      <c r="AP308" s="156"/>
    </row>
    <row r="309" spans="1:42" s="22" customFormat="1" ht="67.5" customHeight="1" x14ac:dyDescent="0.55000000000000004">
      <c r="A309" s="27"/>
      <c r="B309" s="27"/>
      <c r="C309" s="27"/>
      <c r="D309" s="27"/>
      <c r="E309" s="27"/>
      <c r="F309" s="27"/>
      <c r="G309" s="27"/>
      <c r="H309" s="28"/>
      <c r="I309" s="196"/>
      <c r="J309" s="196"/>
      <c r="K309" s="143"/>
      <c r="L309" s="303"/>
      <c r="M309" s="303"/>
      <c r="N309" s="303"/>
      <c r="O309" s="196"/>
      <c r="P309" s="167">
        <f>P307+P300+P293+P286+P254+P134+P261+P191+P168+P146+P126+P114+P90+P83+P62+P51+P32</f>
        <v>840</v>
      </c>
      <c r="Q309" s="196"/>
      <c r="R309" s="167">
        <f>R307+R300+R293+R286+R254+R134+R261+R191+R168+R146+R126+R114+R90+R83+R62+R51+R32</f>
        <v>31</v>
      </c>
      <c r="S309" s="133">
        <f>S307+S300+S293+S286+S279+S268+S261+S254+S191+S168+S146+S134+S126+S114+S90+S83+S62+S51+S32+S25+S15</f>
        <v>47663085.344999999</v>
      </c>
      <c r="T309" s="167">
        <f>T307+T300+T293+T286+T254+T134+T261+T191+T168+T146+T126+T114+T90+T83+T62+T51+T32</f>
        <v>41</v>
      </c>
      <c r="U309" s="133">
        <f>U307+U300+U293+U286+U279+U268+U261+U254+U191+U168+U146+U134+U126+U114+U90+U83+U62+U51+U32+U25+U15</f>
        <v>88295214.414999992</v>
      </c>
      <c r="V309" s="196"/>
      <c r="W309" s="337" t="s">
        <v>31</v>
      </c>
      <c r="X309" s="338"/>
      <c r="Y309" s="338"/>
      <c r="Z309" s="338"/>
      <c r="AA309" s="183"/>
      <c r="AB309" s="133">
        <f t="shared" ref="AB309:AO309" si="208">AB307+AB300+AB293+AB286+AB279+AB268+AB261+AB254+AB191+AB184+AB168+AB146+AB134+AB126+AB114+AB90+AB83+AB62+AB51+AB32+AB25+AB15</f>
        <v>159798197.47567999</v>
      </c>
      <c r="AC309" s="133">
        <f t="shared" si="208"/>
        <v>56255256.865679994</v>
      </c>
      <c r="AD309" s="133">
        <f t="shared" si="208"/>
        <v>1814124.6900000004</v>
      </c>
      <c r="AE309" s="133">
        <f t="shared" si="208"/>
        <v>52972376.834320001</v>
      </c>
      <c r="AF309" s="133">
        <f t="shared" si="208"/>
        <v>158329442.13431999</v>
      </c>
      <c r="AG309" s="133">
        <f t="shared" si="208"/>
        <v>70825243.700000003</v>
      </c>
      <c r="AH309" s="133">
        <f t="shared" si="208"/>
        <v>21587636.630000003</v>
      </c>
      <c r="AI309" s="133">
        <f t="shared" si="208"/>
        <v>33603470.924320012</v>
      </c>
      <c r="AJ309" s="133">
        <f t="shared" si="208"/>
        <v>4416978.0299999993</v>
      </c>
      <c r="AK309" s="133">
        <f t="shared" si="208"/>
        <v>4395129.46</v>
      </c>
      <c r="AL309" s="133">
        <f t="shared" si="208"/>
        <v>5000000</v>
      </c>
      <c r="AM309" s="133">
        <f t="shared" si="208"/>
        <v>13399053.42</v>
      </c>
      <c r="AN309" s="133">
        <f t="shared" si="208"/>
        <v>5000000</v>
      </c>
      <c r="AO309" s="133">
        <f t="shared" si="208"/>
        <v>101929.97</v>
      </c>
      <c r="AP309" s="120" t="e">
        <f>#REF!+#REF!+AP286+AP254+#REF!+AP204+#REF!+#REF!+#REF!+AP191+AP161+AP146+#REF!+#REF!+#REF!+#REF!+#REF!+AP83+AP62+AP51+AP32+#REF!+#REF!+#REF!</f>
        <v>#REF!</v>
      </c>
    </row>
    <row r="310" spans="1:42" s="13" customFormat="1" ht="57.75" customHeight="1" x14ac:dyDescent="0.55000000000000004">
      <c r="A310" s="22"/>
      <c r="B310" s="22"/>
      <c r="C310" s="27"/>
      <c r="D310" s="27"/>
      <c r="E310" s="27"/>
      <c r="F310" s="27"/>
      <c r="G310" s="27"/>
      <c r="H310" s="28"/>
      <c r="I310" s="29"/>
      <c r="J310" s="195"/>
      <c r="K310" s="196"/>
      <c r="L310" s="301"/>
      <c r="M310" s="301"/>
      <c r="N310" s="301"/>
      <c r="O310" s="195"/>
      <c r="P310" s="146"/>
      <c r="Q310" s="195"/>
      <c r="R310" s="265">
        <f>R309+T309</f>
        <v>72</v>
      </c>
      <c r="S310" s="266">
        <f>S309+U309</f>
        <v>135958299.75999999</v>
      </c>
      <c r="T310" s="195"/>
      <c r="U310" s="243">
        <f>AF309-S310</f>
        <v>22371142.37432</v>
      </c>
      <c r="V310" s="195"/>
      <c r="W310" s="28"/>
      <c r="X310" s="28"/>
      <c r="Y310" s="63"/>
      <c r="Z310" s="22"/>
      <c r="AA310" s="22"/>
      <c r="AB310" s="30"/>
      <c r="AC310" s="30"/>
      <c r="AD310" s="30"/>
      <c r="AE310" s="30"/>
      <c r="AF310" s="30"/>
      <c r="AG310" s="32"/>
      <c r="AH310" s="257"/>
      <c r="AI310" s="257"/>
      <c r="AJ310" s="258"/>
      <c r="AK310" s="108"/>
      <c r="AL310" s="108"/>
      <c r="AM310" s="108"/>
      <c r="AN310" s="108"/>
      <c r="AO310" s="109"/>
      <c r="AP310" s="32"/>
    </row>
    <row r="311" spans="1:42" s="26" customFormat="1" ht="57.75" customHeight="1" x14ac:dyDescent="0.55000000000000004">
      <c r="A311" s="117" t="s">
        <v>32</v>
      </c>
      <c r="B311" s="117"/>
      <c r="C311" s="117"/>
      <c r="D311" s="117"/>
      <c r="E311" s="117"/>
      <c r="F311" s="117"/>
      <c r="G311" s="117"/>
      <c r="H311" s="117"/>
      <c r="I311" s="117"/>
      <c r="J311" s="198"/>
      <c r="K311" s="195"/>
      <c r="L311" s="300"/>
      <c r="M311" s="300"/>
      <c r="N311" s="300"/>
      <c r="O311" s="198"/>
      <c r="P311" s="147"/>
      <c r="Q311" s="198"/>
      <c r="R311" s="269">
        <f>R310+'PAS_(Social_Gral.)'!L56</f>
        <v>80</v>
      </c>
      <c r="S311" s="270">
        <f>S310+'PAS_(Social_Gral.)'!M56</f>
        <v>144080691.79999998</v>
      </c>
      <c r="T311" s="198"/>
      <c r="U311" s="247"/>
      <c r="V311" s="198"/>
      <c r="W311" s="117"/>
      <c r="X311" s="118"/>
      <c r="Y311" s="64"/>
      <c r="Z311" s="35"/>
      <c r="AA311" s="35"/>
      <c r="AB311" s="252">
        <f>AF309+'PAS_(Social_Gral.)'!Z55</f>
        <v>170420459.93432</v>
      </c>
      <c r="AC311" s="334"/>
      <c r="AD311" s="334"/>
      <c r="AE311" s="334"/>
      <c r="AF311" s="252">
        <f>AB309-AC309+AD309+AE309</f>
        <v>158329442.13431999</v>
      </c>
      <c r="AG311" s="253"/>
      <c r="AH311" s="254"/>
      <c r="AI311" s="326">
        <v>38789693</v>
      </c>
      <c r="AJ311" s="253"/>
      <c r="AK311" s="132"/>
      <c r="AL311" s="132"/>
      <c r="AM311" s="132"/>
      <c r="AN311" s="132"/>
      <c r="AO311" s="254"/>
      <c r="AP311" s="119"/>
    </row>
    <row r="312" spans="1:42" s="13" customFormat="1" ht="150" customHeight="1" x14ac:dyDescent="0.45">
      <c r="A312" s="370" t="s">
        <v>33</v>
      </c>
      <c r="B312" s="370"/>
      <c r="C312" s="370"/>
      <c r="D312" s="370"/>
      <c r="E312" s="370"/>
      <c r="F312" s="370"/>
      <c r="G312" s="370"/>
      <c r="H312" s="370"/>
      <c r="I312" s="370"/>
      <c r="J312" s="370"/>
      <c r="K312" s="370"/>
      <c r="L312" s="370"/>
      <c r="M312" s="370"/>
      <c r="N312" s="370"/>
      <c r="O312" s="370"/>
      <c r="P312" s="370"/>
      <c r="Q312" s="370"/>
      <c r="R312" s="370"/>
      <c r="S312" s="370"/>
      <c r="T312" s="370"/>
      <c r="U312" s="370"/>
      <c r="V312" s="370"/>
      <c r="W312" s="370"/>
      <c r="X312" s="370"/>
      <c r="Y312" s="370"/>
      <c r="Z312" s="32"/>
      <c r="AA312" s="32"/>
      <c r="AB312" s="255"/>
      <c r="AC312" s="326"/>
      <c r="AD312" s="326"/>
      <c r="AE312" s="326"/>
      <c r="AF312" s="255"/>
      <c r="AG312" s="255"/>
      <c r="AH312" s="255"/>
      <c r="AI312" s="257">
        <f>AI309+'PAS_(Social_Gral.)'!AC55</f>
        <v>38789693.000000015</v>
      </c>
      <c r="AJ312" s="253"/>
      <c r="AK312" s="256"/>
      <c r="AL312" s="256"/>
      <c r="AM312" s="256"/>
      <c r="AN312" s="256"/>
      <c r="AO312" s="255"/>
      <c r="AP312" s="123"/>
    </row>
    <row r="313" spans="1:42" s="44" customFormat="1" ht="44.25" x14ac:dyDescent="0.4">
      <c r="A313" s="80"/>
      <c r="B313" s="40"/>
      <c r="C313" s="40"/>
      <c r="D313" s="40"/>
      <c r="E313" s="40"/>
      <c r="F313" s="40"/>
      <c r="G313" s="40"/>
      <c r="H313" s="41"/>
      <c r="I313" s="42"/>
      <c r="J313" s="199"/>
      <c r="K313" s="143"/>
      <c r="L313" s="303"/>
      <c r="M313" s="303"/>
      <c r="N313" s="303"/>
      <c r="O313" s="199"/>
      <c r="P313" s="148"/>
      <c r="Q313" s="199"/>
      <c r="R313" s="199"/>
      <c r="S313" s="244"/>
      <c r="T313" s="199"/>
      <c r="U313" s="245"/>
      <c r="V313" s="199"/>
      <c r="W313" s="41"/>
      <c r="X313" s="41"/>
      <c r="Y313" s="65"/>
      <c r="Z313" s="43"/>
      <c r="AA313" s="43"/>
      <c r="AB313" s="327"/>
      <c r="AC313" s="327"/>
      <c r="AD313" s="327"/>
      <c r="AE313" s="327"/>
      <c r="AF313" s="327"/>
      <c r="AG313" s="327"/>
      <c r="AH313" s="327"/>
      <c r="AI313" s="327">
        <f>AI311-AI312</f>
        <v>0</v>
      </c>
      <c r="AJ313" s="253"/>
      <c r="AK313" s="327"/>
      <c r="AL313" s="43"/>
      <c r="AM313" s="43"/>
      <c r="AN313" s="43"/>
      <c r="AO313" s="43"/>
      <c r="AP313" s="164"/>
    </row>
    <row r="314" spans="1:42" s="44" customFormat="1" ht="44.25" x14ac:dyDescent="0.4">
      <c r="A314" s="80"/>
      <c r="B314" s="40"/>
      <c r="C314" s="40"/>
      <c r="D314" s="40"/>
      <c r="E314" s="40"/>
      <c r="F314" s="40"/>
      <c r="G314" s="40"/>
      <c r="H314" s="41"/>
      <c r="I314" s="42"/>
      <c r="J314" s="199"/>
      <c r="K314" s="41"/>
      <c r="L314" s="306"/>
      <c r="M314" s="306"/>
      <c r="N314" s="306"/>
      <c r="O314" s="199"/>
      <c r="P314" s="148"/>
      <c r="Q314" s="199"/>
      <c r="R314" s="199"/>
      <c r="S314" s="245"/>
      <c r="T314" s="199"/>
      <c r="U314" s="245"/>
      <c r="V314" s="199"/>
      <c r="W314" s="41"/>
      <c r="X314" s="41"/>
      <c r="Y314" s="65"/>
      <c r="Z314" s="43"/>
      <c r="AA314" s="43"/>
      <c r="AB314" s="327"/>
      <c r="AC314" s="327"/>
      <c r="AD314" s="327"/>
      <c r="AE314" s="327"/>
      <c r="AF314" s="327"/>
      <c r="AG314" s="327"/>
      <c r="AH314" s="327"/>
      <c r="AI314" s="327"/>
      <c r="AJ314" s="328"/>
      <c r="AK314" s="327"/>
      <c r="AL314" s="43"/>
      <c r="AM314" s="43"/>
      <c r="AN314" s="43"/>
      <c r="AO314" s="43"/>
      <c r="AP314" s="164"/>
    </row>
    <row r="315" spans="1:42" s="44" customFormat="1" x14ac:dyDescent="0.4">
      <c r="A315" s="80"/>
      <c r="B315" s="40"/>
      <c r="C315" s="40"/>
      <c r="D315" s="40"/>
      <c r="E315" s="40"/>
      <c r="F315" s="40"/>
      <c r="G315" s="40"/>
      <c r="H315" s="41"/>
      <c r="I315" s="42"/>
      <c r="J315" s="199"/>
      <c r="K315" s="41"/>
      <c r="L315" s="299"/>
      <c r="M315" s="299"/>
      <c r="N315" s="299"/>
      <c r="O315" s="199"/>
      <c r="P315" s="148"/>
      <c r="Q315" s="199"/>
      <c r="R315" s="199"/>
      <c r="S315" s="245"/>
      <c r="T315" s="199"/>
      <c r="U315" s="245"/>
      <c r="V315" s="199"/>
      <c r="W315" s="41"/>
      <c r="X315" s="41"/>
      <c r="Y315" s="65"/>
      <c r="Z315" s="43"/>
      <c r="AA315" s="43"/>
      <c r="AB315" s="327"/>
      <c r="AC315" s="327"/>
      <c r="AD315" s="327"/>
      <c r="AE315" s="327"/>
      <c r="AF315" s="327"/>
      <c r="AG315" s="327"/>
      <c r="AH315" s="327"/>
      <c r="AI315" s="327"/>
      <c r="AJ315" s="327"/>
      <c r="AK315" s="327"/>
      <c r="AL315" s="43"/>
      <c r="AM315" s="43"/>
      <c r="AN315" s="43"/>
      <c r="AO315" s="43"/>
      <c r="AP315" s="164"/>
    </row>
    <row r="316" spans="1:42" s="44" customFormat="1" x14ac:dyDescent="0.4">
      <c r="A316" s="80"/>
      <c r="B316" s="40"/>
      <c r="C316" s="40"/>
      <c r="D316" s="40"/>
      <c r="E316" s="40"/>
      <c r="F316" s="40"/>
      <c r="G316" s="40"/>
      <c r="H316" s="41"/>
      <c r="I316" s="42"/>
      <c r="J316" s="199"/>
      <c r="K316" s="41"/>
      <c r="L316" s="303"/>
      <c r="M316" s="303"/>
      <c r="N316" s="303"/>
      <c r="O316" s="199"/>
      <c r="P316" s="148"/>
      <c r="Q316" s="199"/>
      <c r="R316" s="199"/>
      <c r="S316" s="245"/>
      <c r="T316" s="199"/>
      <c r="U316" s="245"/>
      <c r="V316" s="199"/>
      <c r="W316" s="41"/>
      <c r="X316" s="41"/>
      <c r="Y316" s="65"/>
      <c r="Z316" s="43"/>
      <c r="AA316" s="43"/>
      <c r="AB316" s="327"/>
      <c r="AC316" s="327"/>
      <c r="AD316" s="327"/>
      <c r="AE316" s="327"/>
      <c r="AF316" s="327"/>
      <c r="AG316" s="327"/>
      <c r="AH316" s="327"/>
      <c r="AI316" s="327"/>
      <c r="AJ316" s="327"/>
      <c r="AK316" s="327"/>
      <c r="AL316" s="43"/>
      <c r="AM316" s="43"/>
      <c r="AN316" s="43"/>
      <c r="AO316" s="43"/>
      <c r="AP316" s="164"/>
    </row>
    <row r="317" spans="1:42" s="44" customFormat="1" x14ac:dyDescent="0.4">
      <c r="A317" s="39"/>
      <c r="B317" s="40"/>
      <c r="C317" s="40"/>
      <c r="D317" s="40"/>
      <c r="E317" s="40"/>
      <c r="F317" s="40"/>
      <c r="G317" s="40"/>
      <c r="H317" s="41"/>
      <c r="I317" s="42"/>
      <c r="J317" s="199"/>
      <c r="K317" s="41"/>
      <c r="L317" s="301"/>
      <c r="M317" s="301"/>
      <c r="N317" s="301"/>
      <c r="O317" s="199"/>
      <c r="P317" s="148"/>
      <c r="Q317" s="199"/>
      <c r="R317" s="199"/>
      <c r="S317" s="245"/>
      <c r="T317" s="199"/>
      <c r="U317" s="245"/>
      <c r="V317" s="199"/>
      <c r="W317" s="41"/>
      <c r="X317" s="41"/>
      <c r="Y317" s="65"/>
      <c r="Z317" s="43"/>
      <c r="AA317" s="43"/>
      <c r="AB317" s="327"/>
      <c r="AC317" s="327"/>
      <c r="AD317" s="327"/>
      <c r="AE317" s="327"/>
      <c r="AF317" s="327"/>
      <c r="AG317" s="327"/>
      <c r="AH317" s="327"/>
      <c r="AI317" s="327"/>
      <c r="AJ317" s="327"/>
      <c r="AK317" s="327"/>
      <c r="AL317" s="43"/>
      <c r="AM317" s="43"/>
      <c r="AN317" s="43"/>
      <c r="AO317" s="43"/>
      <c r="AP317" s="164"/>
    </row>
    <row r="318" spans="1:42" s="44" customFormat="1" x14ac:dyDescent="0.55000000000000004">
      <c r="A318" s="39"/>
      <c r="B318" s="40"/>
      <c r="C318" s="40"/>
      <c r="D318" s="40"/>
      <c r="E318" s="40"/>
      <c r="F318" s="40"/>
      <c r="G318" s="40"/>
      <c r="H318" s="41"/>
      <c r="I318" s="42"/>
      <c r="J318" s="199"/>
      <c r="K318" s="41"/>
      <c r="L318" s="300"/>
      <c r="M318" s="300"/>
      <c r="N318" s="300"/>
      <c r="O318" s="199"/>
      <c r="P318" s="148"/>
      <c r="Q318" s="199"/>
      <c r="R318" s="199"/>
      <c r="S318" s="245"/>
      <c r="T318" s="199"/>
      <c r="U318" s="245"/>
      <c r="V318" s="199"/>
      <c r="W318" s="41"/>
      <c r="X318" s="41"/>
      <c r="Y318" s="65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164"/>
    </row>
    <row r="319" spans="1:42" s="44" customFormat="1" x14ac:dyDescent="0.55000000000000004">
      <c r="A319" s="39"/>
      <c r="B319" s="40"/>
      <c r="C319" s="40"/>
      <c r="D319" s="40"/>
      <c r="E319" s="40"/>
      <c r="F319" s="40"/>
      <c r="G319" s="40"/>
      <c r="H319" s="41"/>
      <c r="I319" s="42"/>
      <c r="J319" s="199"/>
      <c r="K319" s="41"/>
      <c r="L319" s="300"/>
      <c r="M319" s="300"/>
      <c r="N319" s="300"/>
      <c r="O319" s="199"/>
      <c r="P319" s="148"/>
      <c r="Q319" s="199"/>
      <c r="R319" s="199"/>
      <c r="S319" s="245"/>
      <c r="T319" s="199"/>
      <c r="U319" s="245"/>
      <c r="V319" s="199"/>
      <c r="W319" s="41"/>
      <c r="X319" s="41"/>
      <c r="Y319" s="65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164"/>
    </row>
    <row r="320" spans="1:42" s="44" customFormat="1" x14ac:dyDescent="0.4">
      <c r="A320" s="39"/>
      <c r="B320" s="40"/>
      <c r="C320" s="40"/>
      <c r="D320" s="40"/>
      <c r="E320" s="40"/>
      <c r="F320" s="40"/>
      <c r="G320" s="40"/>
      <c r="H320" s="41"/>
      <c r="I320" s="42"/>
      <c r="J320" s="199"/>
      <c r="K320" s="41"/>
      <c r="L320" s="303"/>
      <c r="M320" s="303"/>
      <c r="N320" s="303"/>
      <c r="O320" s="199"/>
      <c r="P320" s="148"/>
      <c r="Q320" s="199"/>
      <c r="R320" s="199"/>
      <c r="S320" s="245"/>
      <c r="T320" s="199"/>
      <c r="U320" s="245"/>
      <c r="V320" s="199"/>
      <c r="W320" s="41"/>
      <c r="X320" s="41"/>
      <c r="Y320" s="65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164"/>
    </row>
    <row r="321" spans="1:42" s="44" customFormat="1" x14ac:dyDescent="0.4">
      <c r="A321" s="39"/>
      <c r="B321" s="40"/>
      <c r="C321" s="40"/>
      <c r="D321" s="40"/>
      <c r="E321" s="40"/>
      <c r="F321" s="40"/>
      <c r="G321" s="40"/>
      <c r="H321" s="41"/>
      <c r="I321" s="42"/>
      <c r="J321" s="199"/>
      <c r="K321" s="41"/>
      <c r="L321" s="306"/>
      <c r="M321" s="306"/>
      <c r="N321" s="306"/>
      <c r="O321" s="199"/>
      <c r="P321" s="148"/>
      <c r="Q321" s="199"/>
      <c r="R321" s="199"/>
      <c r="S321" s="245"/>
      <c r="T321" s="199"/>
      <c r="U321" s="245"/>
      <c r="V321" s="199"/>
      <c r="W321" s="41"/>
      <c r="X321" s="41"/>
      <c r="Y321" s="65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164"/>
    </row>
    <row r="322" spans="1:42" s="44" customFormat="1" x14ac:dyDescent="0.4">
      <c r="A322" s="39"/>
      <c r="B322" s="40"/>
      <c r="C322" s="40"/>
      <c r="D322" s="40"/>
      <c r="E322" s="40"/>
      <c r="F322" s="40"/>
      <c r="G322" s="40"/>
      <c r="H322" s="41"/>
      <c r="I322" s="42"/>
      <c r="J322" s="199"/>
      <c r="K322" s="41"/>
      <c r="L322" s="299"/>
      <c r="M322" s="299"/>
      <c r="N322" s="299"/>
      <c r="O322" s="199"/>
      <c r="P322" s="148"/>
      <c r="Q322" s="199"/>
      <c r="R322" s="199"/>
      <c r="S322" s="245"/>
      <c r="T322" s="199"/>
      <c r="U322" s="245"/>
      <c r="V322" s="199"/>
      <c r="W322" s="41"/>
      <c r="X322" s="41"/>
      <c r="Y322" s="65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164"/>
    </row>
    <row r="323" spans="1:42" s="44" customFormat="1" x14ac:dyDescent="0.4">
      <c r="A323" s="39"/>
      <c r="B323" s="40"/>
      <c r="C323" s="40"/>
      <c r="D323" s="40"/>
      <c r="E323" s="40"/>
      <c r="F323" s="40"/>
      <c r="G323" s="40"/>
      <c r="H323" s="41"/>
      <c r="I323" s="42"/>
      <c r="J323" s="199"/>
      <c r="K323" s="41"/>
      <c r="L323" s="303"/>
      <c r="M323" s="303"/>
      <c r="N323" s="303"/>
      <c r="O323" s="199"/>
      <c r="P323" s="148"/>
      <c r="Q323" s="199"/>
      <c r="R323" s="199"/>
      <c r="S323" s="245"/>
      <c r="T323" s="199"/>
      <c r="U323" s="245"/>
      <c r="V323" s="199"/>
      <c r="W323" s="41"/>
      <c r="X323" s="41"/>
      <c r="Y323" s="65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164"/>
    </row>
    <row r="324" spans="1:42" s="44" customFormat="1" x14ac:dyDescent="0.4">
      <c r="A324" s="39"/>
      <c r="B324" s="40"/>
      <c r="C324" s="40"/>
      <c r="D324" s="40"/>
      <c r="E324" s="40"/>
      <c r="F324" s="40"/>
      <c r="G324" s="40"/>
      <c r="H324" s="41"/>
      <c r="I324" s="42"/>
      <c r="J324" s="199"/>
      <c r="K324" s="41"/>
      <c r="L324" s="301"/>
      <c r="M324" s="301"/>
      <c r="N324" s="301"/>
      <c r="O324" s="199"/>
      <c r="P324" s="148"/>
      <c r="Q324" s="199"/>
      <c r="R324" s="199"/>
      <c r="S324" s="245"/>
      <c r="T324" s="199"/>
      <c r="U324" s="245"/>
      <c r="V324" s="199"/>
      <c r="W324" s="41"/>
      <c r="X324" s="41"/>
      <c r="Y324" s="65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164"/>
    </row>
    <row r="325" spans="1:42" s="44" customFormat="1" x14ac:dyDescent="0.55000000000000004">
      <c r="A325" s="39"/>
      <c r="B325" s="40"/>
      <c r="C325" s="40"/>
      <c r="D325" s="40"/>
      <c r="E325" s="40"/>
      <c r="F325" s="40"/>
      <c r="G325" s="40"/>
      <c r="H325" s="41"/>
      <c r="I325" s="42"/>
      <c r="J325" s="199"/>
      <c r="K325" s="41"/>
      <c r="L325" s="300"/>
      <c r="M325" s="300"/>
      <c r="N325" s="300"/>
      <c r="O325" s="199"/>
      <c r="P325" s="148"/>
      <c r="Q325" s="199"/>
      <c r="R325" s="199"/>
      <c r="S325" s="245"/>
      <c r="T325" s="199"/>
      <c r="U325" s="245"/>
      <c r="V325" s="199"/>
      <c r="W325" s="41"/>
      <c r="X325" s="41"/>
      <c r="Y325" s="65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164"/>
    </row>
    <row r="326" spans="1:42" s="44" customFormat="1" x14ac:dyDescent="0.55000000000000004">
      <c r="A326" s="39"/>
      <c r="B326" s="40"/>
      <c r="C326" s="40"/>
      <c r="D326" s="40"/>
      <c r="E326" s="40"/>
      <c r="F326" s="40"/>
      <c r="G326" s="40"/>
      <c r="H326" s="41"/>
      <c r="I326" s="42"/>
      <c r="J326" s="199"/>
      <c r="K326" s="41"/>
      <c r="L326" s="300"/>
      <c r="M326" s="300"/>
      <c r="N326" s="300"/>
      <c r="O326" s="199"/>
      <c r="P326" s="148"/>
      <c r="Q326" s="199"/>
      <c r="R326" s="199"/>
      <c r="S326" s="245"/>
      <c r="T326" s="199"/>
      <c r="U326" s="245"/>
      <c r="V326" s="199"/>
      <c r="W326" s="41"/>
      <c r="X326" s="41"/>
      <c r="Y326" s="65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164"/>
    </row>
    <row r="327" spans="1:42" s="44" customFormat="1" x14ac:dyDescent="0.4">
      <c r="A327" s="39"/>
      <c r="B327" s="40"/>
      <c r="C327" s="40"/>
      <c r="D327" s="40"/>
      <c r="E327" s="40"/>
      <c r="F327" s="40"/>
      <c r="G327" s="40"/>
      <c r="H327" s="41"/>
      <c r="I327" s="42"/>
      <c r="J327" s="199"/>
      <c r="K327" s="41"/>
      <c r="L327" s="303"/>
      <c r="M327" s="303"/>
      <c r="N327" s="303"/>
      <c r="O327" s="199"/>
      <c r="P327" s="148"/>
      <c r="Q327" s="199"/>
      <c r="R327" s="199"/>
      <c r="S327" s="245"/>
      <c r="T327" s="199"/>
      <c r="U327" s="245"/>
      <c r="V327" s="199"/>
      <c r="W327" s="41"/>
      <c r="X327" s="41"/>
      <c r="Y327" s="65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164"/>
    </row>
    <row r="328" spans="1:42" s="44" customFormat="1" x14ac:dyDescent="0.4">
      <c r="A328" s="39"/>
      <c r="B328" s="40"/>
      <c r="C328" s="40"/>
      <c r="D328" s="40"/>
      <c r="E328" s="40"/>
      <c r="F328" s="40"/>
      <c r="G328" s="40"/>
      <c r="H328" s="41"/>
      <c r="I328" s="42"/>
      <c r="J328" s="199"/>
      <c r="K328" s="41"/>
      <c r="L328" s="306"/>
      <c r="M328" s="306"/>
      <c r="N328" s="306"/>
      <c r="O328" s="199"/>
      <c r="P328" s="148"/>
      <c r="Q328" s="199"/>
      <c r="R328" s="199"/>
      <c r="S328" s="245"/>
      <c r="T328" s="199"/>
      <c r="U328" s="245"/>
      <c r="V328" s="199"/>
      <c r="W328" s="41"/>
      <c r="X328" s="41"/>
      <c r="Y328" s="65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164"/>
    </row>
    <row r="329" spans="1:42" s="44" customFormat="1" x14ac:dyDescent="0.4">
      <c r="A329" s="39"/>
      <c r="B329" s="40"/>
      <c r="C329" s="40"/>
      <c r="D329" s="40"/>
      <c r="E329" s="40"/>
      <c r="F329" s="40"/>
      <c r="G329" s="40"/>
      <c r="H329" s="41"/>
      <c r="I329" s="42"/>
      <c r="J329" s="199"/>
      <c r="K329" s="41"/>
      <c r="L329" s="299"/>
      <c r="M329" s="299"/>
      <c r="N329" s="299"/>
      <c r="O329" s="199"/>
      <c r="P329" s="148"/>
      <c r="Q329" s="199"/>
      <c r="R329" s="199"/>
      <c r="S329" s="245"/>
      <c r="T329" s="199"/>
      <c r="U329" s="245"/>
      <c r="V329" s="199"/>
      <c r="W329" s="41"/>
      <c r="X329" s="41"/>
      <c r="Y329" s="66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164"/>
    </row>
    <row r="330" spans="1:42" s="44" customFormat="1" x14ac:dyDescent="0.4">
      <c r="A330" s="39"/>
      <c r="B330" s="40"/>
      <c r="C330" s="40"/>
      <c r="D330" s="40"/>
      <c r="E330" s="40"/>
      <c r="F330" s="40"/>
      <c r="G330" s="40"/>
      <c r="H330" s="41"/>
      <c r="I330" s="42"/>
      <c r="J330" s="199"/>
      <c r="K330" s="41"/>
      <c r="L330" s="303"/>
      <c r="M330" s="303"/>
      <c r="N330" s="303"/>
      <c r="O330" s="199"/>
      <c r="P330" s="148"/>
      <c r="Q330" s="199"/>
      <c r="R330" s="199"/>
      <c r="S330" s="245"/>
      <c r="T330" s="199"/>
      <c r="U330" s="245"/>
      <c r="V330" s="199"/>
      <c r="W330" s="41"/>
      <c r="X330" s="41"/>
      <c r="Y330" s="67"/>
      <c r="Z330" s="46"/>
      <c r="AA330" s="46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164"/>
    </row>
    <row r="331" spans="1:42" x14ac:dyDescent="0.2">
      <c r="K331" s="41"/>
      <c r="L331" s="301"/>
      <c r="M331" s="301"/>
      <c r="N331" s="301"/>
      <c r="Y331" s="68"/>
      <c r="Z331" s="51"/>
      <c r="AA331" s="51"/>
    </row>
    <row r="332" spans="1:42" x14ac:dyDescent="0.55000000000000004">
      <c r="Y332" s="68"/>
      <c r="Z332" s="51"/>
      <c r="AA332" s="51"/>
    </row>
    <row r="333" spans="1:42" x14ac:dyDescent="0.2">
      <c r="K333" s="196"/>
      <c r="L333" s="301"/>
      <c r="M333" s="301"/>
      <c r="N333" s="301"/>
      <c r="Y333" s="54"/>
      <c r="Z333" s="54"/>
      <c r="AA333" s="54"/>
    </row>
    <row r="335" spans="1:42" x14ac:dyDescent="0.2">
      <c r="K335" s="198"/>
      <c r="L335" s="307"/>
      <c r="M335" s="307"/>
      <c r="N335" s="307"/>
      <c r="Y335" s="68"/>
      <c r="Z335" s="51"/>
      <c r="AA335" s="51"/>
    </row>
    <row r="336" spans="1:42" s="56" customFormat="1" x14ac:dyDescent="0.55000000000000004">
      <c r="A336" s="47"/>
      <c r="B336" s="48"/>
      <c r="C336" s="48"/>
      <c r="D336" s="48"/>
      <c r="E336" s="48"/>
      <c r="F336" s="48"/>
      <c r="G336" s="48"/>
      <c r="H336" s="49"/>
      <c r="I336" s="50"/>
      <c r="J336" s="200"/>
      <c r="K336" s="19"/>
      <c r="L336" s="323"/>
      <c r="M336" s="323"/>
      <c r="N336" s="323"/>
      <c r="O336" s="200"/>
      <c r="P336" s="149"/>
      <c r="Q336" s="200"/>
      <c r="R336" s="200"/>
      <c r="S336" s="246"/>
      <c r="T336" s="200"/>
      <c r="U336" s="246"/>
      <c r="V336" s="200"/>
      <c r="W336" s="49"/>
      <c r="X336" s="49"/>
      <c r="Y336" s="69"/>
      <c r="Z336" s="55"/>
      <c r="AA336" s="55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165"/>
    </row>
    <row r="337" spans="1:42" s="56" customFormat="1" x14ac:dyDescent="0.55000000000000004">
      <c r="A337" s="47"/>
      <c r="B337" s="48"/>
      <c r="C337" s="48"/>
      <c r="D337" s="48"/>
      <c r="E337" s="48"/>
      <c r="F337" s="48"/>
      <c r="G337" s="48"/>
      <c r="H337" s="49"/>
      <c r="I337" s="50"/>
      <c r="J337" s="200"/>
      <c r="K337" s="195"/>
      <c r="L337" s="300"/>
      <c r="M337" s="300"/>
      <c r="N337" s="300"/>
      <c r="O337" s="200"/>
      <c r="P337" s="149"/>
      <c r="Q337" s="200"/>
      <c r="R337" s="200"/>
      <c r="S337" s="246"/>
      <c r="T337" s="200"/>
      <c r="U337" s="246"/>
      <c r="V337" s="200"/>
      <c r="W337" s="49"/>
      <c r="X337" s="49"/>
      <c r="Y337" s="70"/>
      <c r="Z337" s="57"/>
      <c r="AA337" s="57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165"/>
    </row>
    <row r="338" spans="1:42" s="56" customFormat="1" x14ac:dyDescent="0.55000000000000004">
      <c r="A338" s="47"/>
      <c r="B338" s="48"/>
      <c r="C338" s="48"/>
      <c r="D338" s="48"/>
      <c r="E338" s="48"/>
      <c r="F338" s="48"/>
      <c r="G338" s="48"/>
      <c r="H338" s="49"/>
      <c r="I338" s="50"/>
      <c r="J338" s="200"/>
      <c r="K338" s="195"/>
      <c r="L338" s="300"/>
      <c r="M338" s="300"/>
      <c r="N338" s="300"/>
      <c r="O338" s="200"/>
      <c r="P338" s="149"/>
      <c r="Q338" s="200"/>
      <c r="R338" s="200"/>
      <c r="S338" s="246"/>
      <c r="T338" s="200"/>
      <c r="U338" s="246"/>
      <c r="V338" s="200"/>
      <c r="W338" s="49"/>
      <c r="X338" s="49"/>
      <c r="Y338" s="69"/>
      <c r="Z338" s="55"/>
      <c r="AA338" s="55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165"/>
    </row>
  </sheetData>
  <sheetProtection algorithmName="SHA-512" hashValue="dHBvbO6iunHcWp4sB15L4osR+41ry2fynaom/WEc3WX6Jfc2RKaLXwX8q2bLA2h6I+UE4A78Zap2mf2OzzgxWQ==" saltValue="LPz7wBk5ieyNhYwXmw2i1Q==" spinCount="100000" sheet="1" objects="1" scenarios="1"/>
  <mergeCells count="66">
    <mergeCell ref="AB4:AF4"/>
    <mergeCell ref="A312:Y312"/>
    <mergeCell ref="Y5:Y6"/>
    <mergeCell ref="Z5:Z6"/>
    <mergeCell ref="AA5:AA6"/>
    <mergeCell ref="AB5:AB6"/>
    <mergeCell ref="C5:C6"/>
    <mergeCell ref="W309:Z309"/>
    <mergeCell ref="W286:Z286"/>
    <mergeCell ref="W254:Z254"/>
    <mergeCell ref="W83:Z83"/>
    <mergeCell ref="W62:Z62"/>
    <mergeCell ref="W51:Z51"/>
    <mergeCell ref="T5:T6"/>
    <mergeCell ref="W40:Z40"/>
    <mergeCell ref="W307:Z307"/>
    <mergeCell ref="W134:Z134"/>
    <mergeCell ref="AN1:AO1"/>
    <mergeCell ref="AN2:AO2"/>
    <mergeCell ref="AN3:AO3"/>
    <mergeCell ref="Y1:AM3"/>
    <mergeCell ref="AI5:AL5"/>
    <mergeCell ref="AG4:AO4"/>
    <mergeCell ref="AO5:AO6"/>
    <mergeCell ref="AC5:AC6"/>
    <mergeCell ref="AD5:AD6"/>
    <mergeCell ref="AE5:AE6"/>
    <mergeCell ref="AF5:AF6"/>
    <mergeCell ref="F1:X3"/>
    <mergeCell ref="S5:S6"/>
    <mergeCell ref="U5:U6"/>
    <mergeCell ref="F5:F6"/>
    <mergeCell ref="G5:G6"/>
    <mergeCell ref="H5:H6"/>
    <mergeCell ref="R5:R6"/>
    <mergeCell ref="A4:U4"/>
    <mergeCell ref="I5:I6"/>
    <mergeCell ref="P5:P6"/>
    <mergeCell ref="W5:W6"/>
    <mergeCell ref="D5:D6"/>
    <mergeCell ref="E5:E6"/>
    <mergeCell ref="A5:A6"/>
    <mergeCell ref="B5:B6"/>
    <mergeCell ref="K5:K6"/>
    <mergeCell ref="W300:Z300"/>
    <mergeCell ref="W261:Z261"/>
    <mergeCell ref="W279:Z279"/>
    <mergeCell ref="AM5:AN5"/>
    <mergeCell ref="W204:Z204"/>
    <mergeCell ref="W191:Z191"/>
    <mergeCell ref="W161:Z161"/>
    <mergeCell ref="W293:Z293"/>
    <mergeCell ref="W268:Z268"/>
    <mergeCell ref="W168:Z168"/>
    <mergeCell ref="W184:Z184"/>
    <mergeCell ref="W146:Z146"/>
    <mergeCell ref="L5:L6"/>
    <mergeCell ref="M5:M6"/>
    <mergeCell ref="N5:N6"/>
    <mergeCell ref="W126:Z126"/>
    <mergeCell ref="W32:Z32"/>
    <mergeCell ref="X5:X6"/>
    <mergeCell ref="W114:Z114"/>
    <mergeCell ref="W90:Z90"/>
    <mergeCell ref="W25:Z25"/>
    <mergeCell ref="W15:Z15"/>
  </mergeCells>
  <hyperlinks>
    <hyperlink ref="H283" location="'Estudios y Proyectos'!A1" display="Estudios y proyectos"/>
  </hyperlinks>
  <printOptions horizontalCentered="1"/>
  <pageMargins left="0.62992125984251968" right="0.62992125984251968" top="0.94488188976377963" bottom="0.74803149606299213" header="0" footer="0"/>
  <pageSetup paperSize="17" scale="16" orientation="landscape" r:id="rId1"/>
  <headerFooter>
    <oddFooter>&amp;L&amp;36Elaboró: Dirección General de Obra Pública.&amp;C&amp;36* Este programa esta sujeto a cambios derivados de proyectos ejecutivos, presupuestos y disponibilidad presupuestal ; así como observaciones de instancias revisoras.&amp;R&amp;48&amp;P</oddFooter>
  </headerFooter>
  <rowBreaks count="4" manualBreakCount="4">
    <brk id="64" max="37" man="1"/>
    <brk id="110" max="37" man="1"/>
    <brk id="146" max="37" man="1"/>
    <brk id="27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221"/>
  <sheetViews>
    <sheetView view="pageBreakPreview" topLeftCell="A4" zoomScale="25" zoomScaleNormal="50" zoomScaleSheetLayoutView="25" zoomScalePageLayoutView="50" workbookViewId="0">
      <pane xSplit="26" ySplit="3" topLeftCell="AA7" activePane="bottomRight" state="frozen"/>
      <selection activeCell="A4" sqref="A4"/>
      <selection pane="topRight" activeCell="AA4" sqref="AA4"/>
      <selection pane="bottomLeft" activeCell="A7" sqref="A7"/>
      <selection pane="bottomRight" activeCell="AA7" sqref="AA7"/>
    </sheetView>
  </sheetViews>
  <sheetFormatPr baseColWidth="10" defaultColWidth="11.42578125" defaultRowHeight="33" x14ac:dyDescent="0.45"/>
  <cols>
    <col min="1" max="1" width="41.140625" style="47" customWidth="1"/>
    <col min="2" max="3" width="16" style="48" customWidth="1"/>
    <col min="4" max="4" width="52.28515625" style="48" customWidth="1"/>
    <col min="5" max="5" width="51.7109375" style="48" customWidth="1"/>
    <col min="6" max="6" width="52.28515625" style="48" customWidth="1"/>
    <col min="7" max="7" width="49.85546875" style="48" hidden="1" customWidth="1"/>
    <col min="8" max="8" width="111.28515625" style="49" customWidth="1"/>
    <col min="9" max="9" width="47.28515625" style="50" customWidth="1"/>
    <col min="10" max="10" width="47.28515625" style="50" hidden="1" customWidth="1"/>
    <col min="11" max="11" width="3.7109375" style="190" hidden="1" customWidth="1"/>
    <col min="12" max="12" width="23.85546875" style="225" hidden="1" customWidth="1"/>
    <col min="13" max="13" width="50.85546875" style="50" hidden="1" customWidth="1"/>
    <col min="14" max="14" width="23.85546875" style="225" hidden="1" customWidth="1"/>
    <col min="15" max="15" width="50.85546875" style="50" hidden="1" customWidth="1"/>
    <col min="16" max="16" width="3.7109375" style="190" hidden="1" customWidth="1"/>
    <col min="17" max="18" width="47.28515625" style="49" customWidth="1"/>
    <col min="19" max="19" width="43.42578125" style="58" customWidth="1"/>
    <col min="20" max="20" width="52.85546875" style="58" customWidth="1"/>
    <col min="21" max="21" width="52.85546875" style="58" hidden="1" customWidth="1"/>
    <col min="22" max="26" width="65.7109375" style="52" customWidth="1"/>
    <col min="27" max="35" width="54.5703125" style="53" customWidth="1"/>
    <col min="36" max="36" width="5.7109375" style="165" hidden="1" customWidth="1"/>
    <col min="37" max="37" width="68.28515625" style="13" hidden="1" customWidth="1"/>
    <col min="38" max="38" width="5.7109375" style="165" hidden="1" customWidth="1"/>
    <col min="39" max="39" width="68.28515625" style="13" hidden="1" customWidth="1"/>
    <col min="40" max="42" width="68.28515625" style="4" hidden="1" customWidth="1"/>
    <col min="43" max="45" width="11.42578125" style="3" hidden="1" customWidth="1"/>
    <col min="46" max="16384" width="11.42578125" style="3"/>
  </cols>
  <sheetData>
    <row r="1" spans="1:45" ht="144" customHeight="1" x14ac:dyDescent="0.2">
      <c r="A1" s="1"/>
      <c r="B1" s="2"/>
      <c r="C1" s="2"/>
      <c r="D1" s="2"/>
      <c r="E1" s="2"/>
      <c r="F1" s="380" t="s">
        <v>35</v>
      </c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1"/>
      <c r="S1" s="358" t="s">
        <v>147</v>
      </c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2"/>
      <c r="AI1" s="353"/>
      <c r="AJ1" s="293"/>
      <c r="AK1" s="3"/>
      <c r="AL1" s="154"/>
      <c r="AM1" s="3"/>
    </row>
    <row r="2" spans="1:45" s="82" customFormat="1" ht="144" customHeight="1" x14ac:dyDescent="0.2">
      <c r="A2" s="125"/>
      <c r="B2" s="126"/>
      <c r="C2" s="126"/>
      <c r="D2" s="126"/>
      <c r="E2" s="126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3"/>
      <c r="S2" s="360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54" t="s">
        <v>405</v>
      </c>
      <c r="AI2" s="355"/>
      <c r="AJ2" s="293"/>
      <c r="AL2" s="154"/>
      <c r="AN2" s="81"/>
      <c r="AO2" s="81"/>
      <c r="AP2" s="81"/>
    </row>
    <row r="3" spans="1:45" s="82" customFormat="1" ht="144" customHeight="1" x14ac:dyDescent="0.2">
      <c r="A3" s="127"/>
      <c r="B3" s="128"/>
      <c r="C3" s="128"/>
      <c r="D3" s="128"/>
      <c r="E3" s="128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5"/>
      <c r="S3" s="362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56">
        <v>43112</v>
      </c>
      <c r="AI3" s="357"/>
      <c r="AJ3" s="157"/>
      <c r="AL3" s="157"/>
      <c r="AN3" s="81"/>
      <c r="AO3" s="81"/>
      <c r="AP3" s="81"/>
    </row>
    <row r="4" spans="1:45" s="136" customFormat="1" ht="114" customHeight="1" x14ac:dyDescent="0.2">
      <c r="A4" s="373" t="s">
        <v>0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5"/>
      <c r="U4" s="135"/>
      <c r="V4" s="373" t="s">
        <v>2</v>
      </c>
      <c r="W4" s="374"/>
      <c r="X4" s="374"/>
      <c r="Y4" s="374"/>
      <c r="Z4" s="375"/>
      <c r="AA4" s="378"/>
      <c r="AB4" s="378"/>
      <c r="AC4" s="378"/>
      <c r="AD4" s="378"/>
      <c r="AE4" s="378"/>
      <c r="AF4" s="378"/>
      <c r="AG4" s="378"/>
      <c r="AH4" s="378"/>
      <c r="AI4" s="379"/>
      <c r="AJ4" s="158"/>
      <c r="AK4" s="364" t="s">
        <v>219</v>
      </c>
      <c r="AL4" s="158"/>
      <c r="AM4" s="364" t="s">
        <v>60</v>
      </c>
      <c r="AN4" s="364" t="s">
        <v>61</v>
      </c>
      <c r="AO4" s="364" t="s">
        <v>62</v>
      </c>
      <c r="AP4" s="364" t="s">
        <v>19</v>
      </c>
    </row>
    <row r="5" spans="1:45" s="78" customFormat="1" ht="90.75" customHeight="1" x14ac:dyDescent="0.2">
      <c r="A5" s="339" t="s">
        <v>3</v>
      </c>
      <c r="B5" s="339" t="s">
        <v>4</v>
      </c>
      <c r="C5" s="339" t="s">
        <v>5</v>
      </c>
      <c r="D5" s="339" t="s">
        <v>6</v>
      </c>
      <c r="E5" s="339" t="s">
        <v>117</v>
      </c>
      <c r="F5" s="339" t="s">
        <v>118</v>
      </c>
      <c r="G5" s="344" t="s">
        <v>7</v>
      </c>
      <c r="H5" s="339" t="s">
        <v>8</v>
      </c>
      <c r="I5" s="339" t="s">
        <v>9</v>
      </c>
      <c r="J5" s="339" t="s">
        <v>208</v>
      </c>
      <c r="K5" s="160"/>
      <c r="L5" s="376" t="s">
        <v>67</v>
      </c>
      <c r="M5" s="346" t="s">
        <v>64</v>
      </c>
      <c r="N5" s="376" t="s">
        <v>67</v>
      </c>
      <c r="O5" s="346" t="s">
        <v>66</v>
      </c>
      <c r="P5" s="160"/>
      <c r="Q5" s="339" t="s">
        <v>10</v>
      </c>
      <c r="R5" s="339" t="s">
        <v>11</v>
      </c>
      <c r="S5" s="339" t="s">
        <v>1</v>
      </c>
      <c r="T5" s="339" t="s">
        <v>12</v>
      </c>
      <c r="U5" s="371" t="s">
        <v>13</v>
      </c>
      <c r="V5" s="368" t="s">
        <v>14</v>
      </c>
      <c r="W5" s="339" t="s">
        <v>330</v>
      </c>
      <c r="X5" s="339" t="s">
        <v>331</v>
      </c>
      <c r="Y5" s="339" t="s">
        <v>332</v>
      </c>
      <c r="Z5" s="368" t="s">
        <v>333</v>
      </c>
      <c r="AA5" s="263" t="s">
        <v>60</v>
      </c>
      <c r="AB5" s="262" t="s">
        <v>61</v>
      </c>
      <c r="AC5" s="365" t="s">
        <v>15</v>
      </c>
      <c r="AD5" s="366"/>
      <c r="AE5" s="366"/>
      <c r="AF5" s="366"/>
      <c r="AG5" s="341"/>
      <c r="AH5" s="341"/>
      <c r="AI5" s="368" t="s">
        <v>137</v>
      </c>
      <c r="AJ5" s="159"/>
      <c r="AK5" s="364"/>
      <c r="AL5" s="159"/>
      <c r="AM5" s="364"/>
      <c r="AN5" s="364"/>
      <c r="AO5" s="364"/>
      <c r="AP5" s="364"/>
    </row>
    <row r="6" spans="1:45" s="77" customFormat="1" ht="318.75" customHeight="1" x14ac:dyDescent="0.55000000000000004">
      <c r="A6" s="340"/>
      <c r="B6" s="340"/>
      <c r="C6" s="340"/>
      <c r="D6" s="340" t="s">
        <v>6</v>
      </c>
      <c r="E6" s="340" t="s">
        <v>16</v>
      </c>
      <c r="F6" s="340" t="s">
        <v>17</v>
      </c>
      <c r="G6" s="345"/>
      <c r="H6" s="340"/>
      <c r="I6" s="340"/>
      <c r="J6" s="340"/>
      <c r="K6" s="160"/>
      <c r="L6" s="377"/>
      <c r="M6" s="347"/>
      <c r="N6" s="377"/>
      <c r="O6" s="347"/>
      <c r="P6" s="160"/>
      <c r="Q6" s="340"/>
      <c r="R6" s="340"/>
      <c r="S6" s="340"/>
      <c r="T6" s="340" t="s">
        <v>18</v>
      </c>
      <c r="U6" s="372" t="s">
        <v>18</v>
      </c>
      <c r="V6" s="369"/>
      <c r="W6" s="340"/>
      <c r="X6" s="340"/>
      <c r="Y6" s="340"/>
      <c r="Z6" s="369"/>
      <c r="AA6" s="134" t="s">
        <v>133</v>
      </c>
      <c r="AB6" s="84" t="s">
        <v>134</v>
      </c>
      <c r="AC6" s="134" t="s">
        <v>94</v>
      </c>
      <c r="AD6" s="134" t="s">
        <v>135</v>
      </c>
      <c r="AE6" s="134" t="s">
        <v>93</v>
      </c>
      <c r="AF6" s="134" t="s">
        <v>136</v>
      </c>
      <c r="AG6" s="84" t="s">
        <v>319</v>
      </c>
      <c r="AH6" s="324" t="s">
        <v>320</v>
      </c>
      <c r="AI6" s="369"/>
      <c r="AJ6" s="160"/>
      <c r="AK6" s="364"/>
      <c r="AL6" s="160"/>
      <c r="AM6" s="364"/>
      <c r="AN6" s="364"/>
      <c r="AO6" s="364"/>
      <c r="AP6" s="364"/>
    </row>
    <row r="7" spans="1:45" s="22" customFormat="1" ht="23.25" customHeight="1" x14ac:dyDescent="0.55000000000000004">
      <c r="A7" s="83"/>
      <c r="B7" s="27"/>
      <c r="C7" s="27"/>
      <c r="D7" s="27"/>
      <c r="E7" s="27"/>
      <c r="F7" s="27"/>
      <c r="G7" s="27"/>
      <c r="H7" s="28"/>
      <c r="I7" s="29"/>
      <c r="J7" s="29"/>
      <c r="K7" s="185"/>
      <c r="L7" s="222"/>
      <c r="M7" s="29"/>
      <c r="N7" s="222"/>
      <c r="O7" s="29"/>
      <c r="P7" s="185"/>
      <c r="Q7" s="28"/>
      <c r="R7" s="28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161"/>
      <c r="AK7" s="31"/>
      <c r="AL7" s="161"/>
      <c r="AM7" s="31"/>
      <c r="AN7" s="31"/>
      <c r="AO7" s="31"/>
      <c r="AP7" s="31"/>
    </row>
    <row r="8" spans="1:45" s="85" customFormat="1" ht="43.5" customHeight="1" x14ac:dyDescent="0.55000000000000004">
      <c r="A8" s="85" t="s">
        <v>89</v>
      </c>
      <c r="B8" s="86"/>
      <c r="C8" s="86"/>
      <c r="D8" s="86"/>
      <c r="E8" s="86"/>
      <c r="F8" s="86"/>
      <c r="G8" s="86"/>
      <c r="H8" s="86"/>
      <c r="L8" s="219"/>
      <c r="N8" s="219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32"/>
      <c r="AL8" s="32"/>
      <c r="AN8" s="88"/>
      <c r="AO8" s="88"/>
      <c r="AP8" s="88"/>
      <c r="AR8" s="22"/>
      <c r="AS8" s="22"/>
    </row>
    <row r="9" spans="1:45" s="22" customFormat="1" ht="133.5" customHeight="1" x14ac:dyDescent="0.55000000000000004">
      <c r="A9" s="73" t="s">
        <v>322</v>
      </c>
      <c r="B9" s="73"/>
      <c r="C9" s="74"/>
      <c r="D9" s="74" t="s">
        <v>20</v>
      </c>
      <c r="E9" s="74" t="s">
        <v>20</v>
      </c>
      <c r="F9" s="74" t="s">
        <v>20</v>
      </c>
      <c r="G9" s="74"/>
      <c r="H9" s="121" t="s">
        <v>206</v>
      </c>
      <c r="I9" s="73" t="s">
        <v>23</v>
      </c>
      <c r="J9" s="73">
        <v>55</v>
      </c>
      <c r="K9" s="186"/>
      <c r="L9" s="214">
        <v>0.5</v>
      </c>
      <c r="M9" s="237">
        <f>Z9/2</f>
        <v>250000</v>
      </c>
      <c r="N9" s="214">
        <v>0.5</v>
      </c>
      <c r="O9" s="237">
        <f>Z9/2</f>
        <v>250000</v>
      </c>
      <c r="P9" s="186"/>
      <c r="Q9" s="73" t="s">
        <v>27</v>
      </c>
      <c r="R9" s="73" t="s">
        <v>27</v>
      </c>
      <c r="S9" s="74"/>
      <c r="T9" s="74"/>
      <c r="U9" s="152"/>
      <c r="V9" s="76">
        <v>500000</v>
      </c>
      <c r="W9" s="76"/>
      <c r="X9" s="76"/>
      <c r="Y9" s="76"/>
      <c r="Z9" s="76">
        <f>SUM(AA9:AI9)</f>
        <v>500000</v>
      </c>
      <c r="AA9" s="153"/>
      <c r="AB9" s="75"/>
      <c r="AC9" s="75">
        <v>500000</v>
      </c>
      <c r="AD9" s="75"/>
      <c r="AE9" s="75"/>
      <c r="AF9" s="75"/>
      <c r="AG9" s="153"/>
      <c r="AH9" s="153"/>
      <c r="AI9" s="153"/>
      <c r="AJ9" s="250"/>
      <c r="AK9" s="152" t="s">
        <v>220</v>
      </c>
      <c r="AL9" s="250"/>
      <c r="AM9" s="152">
        <f t="shared" ref="AM9:AN11" si="0">AA9</f>
        <v>0</v>
      </c>
      <c r="AN9" s="152">
        <f t="shared" si="0"/>
        <v>0</v>
      </c>
      <c r="AO9" s="152">
        <f>AC9+AD9+AE9+AF9+AG9+AH9</f>
        <v>500000</v>
      </c>
      <c r="AP9" s="152">
        <f>AI9</f>
        <v>0</v>
      </c>
    </row>
    <row r="10" spans="1:45" s="22" customFormat="1" ht="133.5" customHeight="1" x14ac:dyDescent="0.55000000000000004">
      <c r="A10" s="73" t="s">
        <v>323</v>
      </c>
      <c r="B10" s="73"/>
      <c r="C10" s="74"/>
      <c r="D10" s="74" t="s">
        <v>20</v>
      </c>
      <c r="E10" s="74" t="s">
        <v>20</v>
      </c>
      <c r="F10" s="74" t="s">
        <v>20</v>
      </c>
      <c r="G10" s="74"/>
      <c r="H10" s="121" t="s">
        <v>207</v>
      </c>
      <c r="I10" s="73" t="s">
        <v>23</v>
      </c>
      <c r="J10" s="73">
        <v>230</v>
      </c>
      <c r="K10" s="186"/>
      <c r="L10" s="214">
        <v>0.5</v>
      </c>
      <c r="M10" s="206">
        <f>Z10/2</f>
        <v>650000</v>
      </c>
      <c r="N10" s="214">
        <v>0.5</v>
      </c>
      <c r="O10" s="206">
        <f>Z10/2</f>
        <v>650000</v>
      </c>
      <c r="P10" s="186"/>
      <c r="Q10" s="73" t="s">
        <v>27</v>
      </c>
      <c r="R10" s="73" t="s">
        <v>27</v>
      </c>
      <c r="S10" s="74"/>
      <c r="T10" s="74"/>
      <c r="U10" s="152"/>
      <c r="V10" s="76">
        <v>1300000</v>
      </c>
      <c r="W10" s="76"/>
      <c r="X10" s="76"/>
      <c r="Y10" s="76"/>
      <c r="Z10" s="76">
        <f>SUM(AA10:AI10)</f>
        <v>1300000</v>
      </c>
      <c r="AA10" s="153"/>
      <c r="AB10" s="75"/>
      <c r="AC10" s="75">
        <v>1300000</v>
      </c>
      <c r="AD10" s="75"/>
      <c r="AE10" s="75"/>
      <c r="AF10" s="75"/>
      <c r="AG10" s="153"/>
      <c r="AH10" s="153"/>
      <c r="AI10" s="153"/>
      <c r="AJ10" s="163">
        <f>SUM(AJ8:AJ9)</f>
        <v>0</v>
      </c>
      <c r="AK10" s="152" t="s">
        <v>220</v>
      </c>
      <c r="AL10" s="163">
        <f>SUM(AL8:AL9)</f>
        <v>0</v>
      </c>
      <c r="AM10" s="152">
        <f t="shared" si="0"/>
        <v>0</v>
      </c>
      <c r="AN10" s="152">
        <f t="shared" si="0"/>
        <v>0</v>
      </c>
      <c r="AO10" s="152">
        <f t="shared" ref="AO10:AO11" si="1">AC10+AD10+AE10+AF10+AG10+AH10</f>
        <v>1300000</v>
      </c>
      <c r="AP10" s="152">
        <f t="shared" ref="AP10:AP11" si="2">AI10</f>
        <v>0</v>
      </c>
    </row>
    <row r="11" spans="1:45" s="22" customFormat="1" ht="121.5" customHeight="1" x14ac:dyDescent="0.55000000000000004">
      <c r="A11" s="73" t="s">
        <v>324</v>
      </c>
      <c r="B11" s="73"/>
      <c r="C11" s="74"/>
      <c r="D11" s="74" t="s">
        <v>20</v>
      </c>
      <c r="E11" s="74" t="s">
        <v>20</v>
      </c>
      <c r="F11" s="74" t="s">
        <v>20</v>
      </c>
      <c r="G11" s="74"/>
      <c r="H11" s="121" t="s">
        <v>37</v>
      </c>
      <c r="I11" s="73" t="s">
        <v>23</v>
      </c>
      <c r="J11" s="73"/>
      <c r="K11" s="186"/>
      <c r="L11" s="214">
        <v>0.5</v>
      </c>
      <c r="M11" s="206">
        <f>Z11/2</f>
        <v>0</v>
      </c>
      <c r="N11" s="214">
        <v>0.5</v>
      </c>
      <c r="O11" s="206">
        <f>Z11/2</f>
        <v>0</v>
      </c>
      <c r="P11" s="186"/>
      <c r="Q11" s="73" t="s">
        <v>28</v>
      </c>
      <c r="R11" s="73" t="s">
        <v>28</v>
      </c>
      <c r="S11" s="74"/>
      <c r="T11" s="74"/>
      <c r="U11" s="152"/>
      <c r="V11" s="76">
        <v>3800000</v>
      </c>
      <c r="W11" s="76">
        <f>V11</f>
        <v>3800000</v>
      </c>
      <c r="X11" s="76"/>
      <c r="Y11" s="76"/>
      <c r="Z11" s="76">
        <f>SUM(AA11:AI11)</f>
        <v>0</v>
      </c>
      <c r="AA11" s="153"/>
      <c r="AB11" s="75"/>
      <c r="AC11" s="75">
        <f>3393596.31568-3393596.31568</f>
        <v>0</v>
      </c>
      <c r="AD11" s="75">
        <f>406403.68432-406403.68432</f>
        <v>0</v>
      </c>
      <c r="AE11" s="75"/>
      <c r="AF11" s="75"/>
      <c r="AG11" s="153"/>
      <c r="AH11" s="153"/>
      <c r="AI11" s="153"/>
      <c r="AJ11" s="162" t="e">
        <f>#REF!</f>
        <v>#REF!</v>
      </c>
      <c r="AK11" s="152" t="s">
        <v>220</v>
      </c>
      <c r="AL11" s="162" t="e">
        <f>#REF!</f>
        <v>#REF!</v>
      </c>
      <c r="AM11" s="152">
        <f t="shared" si="0"/>
        <v>0</v>
      </c>
      <c r="AN11" s="152">
        <f t="shared" si="0"/>
        <v>0</v>
      </c>
      <c r="AO11" s="152">
        <f t="shared" si="1"/>
        <v>0</v>
      </c>
      <c r="AP11" s="152">
        <f t="shared" si="2"/>
        <v>0</v>
      </c>
    </row>
    <row r="12" spans="1:45" s="22" customFormat="1" ht="63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5"/>
      <c r="J12" s="150">
        <f>SUM(J9:J11)</f>
        <v>285</v>
      </c>
      <c r="K12" s="187"/>
      <c r="L12" s="150">
        <f>SUM(L9:L11)</f>
        <v>1.5</v>
      </c>
      <c r="M12" s="89">
        <f>SUM(M9:M11)</f>
        <v>900000</v>
      </c>
      <c r="N12" s="150">
        <f>SUM(N9:N11)</f>
        <v>1.5</v>
      </c>
      <c r="O12" s="89">
        <f>SUM(O9:O11)</f>
        <v>900000</v>
      </c>
      <c r="P12" s="187"/>
      <c r="Q12" s="15"/>
      <c r="R12" s="15"/>
      <c r="S12" s="14"/>
      <c r="T12" s="15"/>
      <c r="U12" s="15"/>
      <c r="V12" s="89">
        <f t="shared" ref="V12:Y12" si="3">SUM(V9:V11)</f>
        <v>5600000</v>
      </c>
      <c r="W12" s="89">
        <f t="shared" si="3"/>
        <v>3800000</v>
      </c>
      <c r="X12" s="89">
        <f t="shared" si="3"/>
        <v>0</v>
      </c>
      <c r="Y12" s="89">
        <f t="shared" si="3"/>
        <v>0</v>
      </c>
      <c r="Z12" s="89">
        <f>SUM(Z9:Z11)</f>
        <v>1800000</v>
      </c>
      <c r="AA12" s="89">
        <f t="shared" ref="AA12:AJ12" si="4">SUM(AA9:AA11)</f>
        <v>0</v>
      </c>
      <c r="AB12" s="89">
        <f t="shared" si="4"/>
        <v>0</v>
      </c>
      <c r="AC12" s="89">
        <f t="shared" si="4"/>
        <v>1800000</v>
      </c>
      <c r="AD12" s="89">
        <f t="shared" si="4"/>
        <v>0</v>
      </c>
      <c r="AE12" s="89">
        <f t="shared" si="4"/>
        <v>0</v>
      </c>
      <c r="AF12" s="89">
        <f t="shared" si="4"/>
        <v>0</v>
      </c>
      <c r="AG12" s="89">
        <f t="shared" si="4"/>
        <v>0</v>
      </c>
      <c r="AH12" s="89">
        <f t="shared" si="4"/>
        <v>0</v>
      </c>
      <c r="AI12" s="89">
        <f t="shared" si="4"/>
        <v>0</v>
      </c>
      <c r="AJ12" s="294" t="e">
        <f t="shared" si="4"/>
        <v>#REF!</v>
      </c>
      <c r="AK12" s="296"/>
      <c r="AL12" s="260" t="e">
        <f t="shared" ref="AL12:AP12" si="5">SUM(AL9:AL11)</f>
        <v>#REF!</v>
      </c>
      <c r="AM12" s="89">
        <f t="shared" si="5"/>
        <v>0</v>
      </c>
      <c r="AN12" s="89">
        <f t="shared" si="5"/>
        <v>0</v>
      </c>
      <c r="AO12" s="89">
        <f t="shared" si="5"/>
        <v>1800000</v>
      </c>
      <c r="AP12" s="89">
        <f t="shared" si="5"/>
        <v>0</v>
      </c>
    </row>
    <row r="13" spans="1:45" s="92" customFormat="1" ht="24" customHeight="1" x14ac:dyDescent="0.55000000000000004">
      <c r="A13" s="90"/>
      <c r="B13" s="91"/>
      <c r="C13" s="91"/>
      <c r="D13" s="91"/>
      <c r="E13" s="91"/>
      <c r="F13" s="91"/>
      <c r="G13" s="91"/>
      <c r="H13" s="91"/>
      <c r="L13" s="217"/>
      <c r="M13" s="91"/>
      <c r="N13" s="217"/>
      <c r="O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6"/>
      <c r="AL13" s="91"/>
      <c r="AM13" s="174"/>
      <c r="AN13" s="174"/>
      <c r="AO13" s="174"/>
      <c r="AP13" s="174"/>
      <c r="AR13" s="22"/>
      <c r="AS13" s="22"/>
    </row>
    <row r="14" spans="1:45" s="22" customFormat="1" ht="67.5" customHeight="1" x14ac:dyDescent="0.55000000000000004">
      <c r="A14" s="27"/>
      <c r="B14" s="27"/>
      <c r="C14" s="27"/>
      <c r="D14" s="27"/>
      <c r="E14" s="27"/>
      <c r="F14" s="27"/>
      <c r="G14" s="27"/>
      <c r="H14" s="28"/>
      <c r="J14" s="212">
        <f t="shared" ref="J14" si="6">J12</f>
        <v>285</v>
      </c>
      <c r="K14" s="204"/>
      <c r="L14" s="212">
        <f t="shared" ref="L14:O14" si="7">L12</f>
        <v>1.5</v>
      </c>
      <c r="M14" s="133">
        <f t="shared" si="7"/>
        <v>900000</v>
      </c>
      <c r="N14" s="212">
        <f t="shared" si="7"/>
        <v>1.5</v>
      </c>
      <c r="O14" s="133">
        <f t="shared" si="7"/>
        <v>900000</v>
      </c>
      <c r="P14" s="205"/>
      <c r="Q14" s="337" t="s">
        <v>22</v>
      </c>
      <c r="R14" s="338"/>
      <c r="S14" s="338"/>
      <c r="T14" s="338"/>
      <c r="V14" s="133">
        <f t="shared" ref="V14:Y14" si="8">V12</f>
        <v>5600000</v>
      </c>
      <c r="W14" s="133">
        <f t="shared" si="8"/>
        <v>3800000</v>
      </c>
      <c r="X14" s="133">
        <f t="shared" si="8"/>
        <v>0</v>
      </c>
      <c r="Y14" s="133">
        <f t="shared" si="8"/>
        <v>0</v>
      </c>
      <c r="Z14" s="133">
        <f>Z12</f>
        <v>1800000</v>
      </c>
      <c r="AA14" s="133">
        <f t="shared" ref="AA14:AJ14" si="9">AA12</f>
        <v>0</v>
      </c>
      <c r="AB14" s="133">
        <f t="shared" si="9"/>
        <v>0</v>
      </c>
      <c r="AC14" s="133">
        <f t="shared" si="9"/>
        <v>1800000</v>
      </c>
      <c r="AD14" s="133">
        <f t="shared" si="9"/>
        <v>0</v>
      </c>
      <c r="AE14" s="133">
        <f t="shared" si="9"/>
        <v>0</v>
      </c>
      <c r="AF14" s="133">
        <f t="shared" si="9"/>
        <v>0</v>
      </c>
      <c r="AG14" s="133">
        <f t="shared" si="9"/>
        <v>0</v>
      </c>
      <c r="AH14" s="133">
        <f t="shared" si="9"/>
        <v>0</v>
      </c>
      <c r="AI14" s="133">
        <f t="shared" si="9"/>
        <v>0</v>
      </c>
      <c r="AJ14" s="295" t="e">
        <f t="shared" si="9"/>
        <v>#REF!</v>
      </c>
      <c r="AK14" s="96"/>
      <c r="AL14" s="261" t="e">
        <f t="shared" ref="AL14:AP14" si="10">AL12</f>
        <v>#REF!</v>
      </c>
      <c r="AM14" s="133">
        <f t="shared" si="10"/>
        <v>0</v>
      </c>
      <c r="AN14" s="133">
        <f t="shared" si="10"/>
        <v>0</v>
      </c>
      <c r="AO14" s="133">
        <f t="shared" si="10"/>
        <v>1800000</v>
      </c>
      <c r="AP14" s="133">
        <f t="shared" si="10"/>
        <v>0</v>
      </c>
    </row>
    <row r="15" spans="1:45" s="22" customFormat="1" ht="27" customHeight="1" x14ac:dyDescent="0.55000000000000004">
      <c r="A15" s="169"/>
      <c r="B15" s="170"/>
      <c r="C15" s="170"/>
      <c r="D15" s="170"/>
      <c r="E15" s="170"/>
      <c r="F15" s="170"/>
      <c r="G15" s="170"/>
      <c r="H15" s="14"/>
      <c r="I15" s="171"/>
      <c r="J15" s="171"/>
      <c r="K15" s="185"/>
      <c r="L15" s="218"/>
      <c r="M15" s="171"/>
      <c r="N15" s="218"/>
      <c r="O15" s="171"/>
      <c r="P15" s="185"/>
      <c r="Q15" s="14"/>
      <c r="R15" s="14"/>
      <c r="S15" s="172"/>
      <c r="T15" s="172"/>
      <c r="U15" s="172"/>
      <c r="V15" s="21"/>
      <c r="W15" s="21"/>
      <c r="X15" s="21"/>
      <c r="Y15" s="21"/>
      <c r="Z15" s="21"/>
      <c r="AA15" s="172"/>
      <c r="AB15" s="172"/>
      <c r="AC15" s="172"/>
      <c r="AD15" s="172"/>
      <c r="AE15" s="172"/>
      <c r="AF15" s="172"/>
      <c r="AG15" s="172"/>
      <c r="AH15" s="172"/>
      <c r="AI15" s="172"/>
      <c r="AJ15" s="32"/>
      <c r="AK15" s="13"/>
      <c r="AL15" s="32"/>
      <c r="AM15" s="13"/>
      <c r="AN15" s="31"/>
      <c r="AO15" s="31"/>
      <c r="AP15" s="31"/>
    </row>
    <row r="16" spans="1:45" s="92" customFormat="1" ht="42" x14ac:dyDescent="0.55000000000000004">
      <c r="A16" s="169"/>
      <c r="B16" s="170"/>
      <c r="C16" s="170"/>
      <c r="D16" s="170"/>
      <c r="E16" s="170"/>
      <c r="F16" s="170"/>
      <c r="G16" s="170"/>
      <c r="H16" s="14"/>
      <c r="I16" s="171"/>
      <c r="J16" s="171"/>
      <c r="K16" s="185"/>
      <c r="L16" s="218"/>
      <c r="M16" s="171"/>
      <c r="N16" s="218"/>
      <c r="O16" s="171"/>
      <c r="P16" s="185"/>
      <c r="Q16" s="14"/>
      <c r="R16" s="14"/>
      <c r="S16" s="172"/>
      <c r="T16" s="172"/>
      <c r="U16" s="172"/>
      <c r="V16" s="95"/>
      <c r="W16" s="95"/>
      <c r="X16" s="95"/>
      <c r="Y16" s="95"/>
      <c r="Z16" s="95"/>
      <c r="AA16" s="172"/>
      <c r="AB16" s="172"/>
      <c r="AC16" s="173"/>
      <c r="AD16" s="172"/>
      <c r="AE16" s="172"/>
      <c r="AF16" s="172"/>
      <c r="AG16" s="172"/>
      <c r="AH16" s="172"/>
      <c r="AI16" s="173"/>
      <c r="AJ16" s="32"/>
      <c r="AK16" s="96"/>
      <c r="AL16" s="32"/>
      <c r="AM16" s="96"/>
      <c r="AN16" s="94"/>
      <c r="AO16" s="94"/>
      <c r="AP16" s="94"/>
      <c r="AR16" s="22"/>
      <c r="AS16" s="22"/>
    </row>
    <row r="17" spans="1:45" s="85" customFormat="1" ht="43.5" customHeight="1" x14ac:dyDescent="0.55000000000000004">
      <c r="A17" s="85" t="s">
        <v>404</v>
      </c>
      <c r="B17" s="86"/>
      <c r="C17" s="86"/>
      <c r="D17" s="86"/>
      <c r="E17" s="86"/>
      <c r="F17" s="86"/>
      <c r="G17" s="86"/>
      <c r="H17" s="86"/>
      <c r="L17" s="219"/>
      <c r="N17" s="219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32"/>
      <c r="AL17" s="32"/>
      <c r="AN17" s="88"/>
      <c r="AO17" s="88"/>
      <c r="AP17" s="88"/>
      <c r="AR17" s="22"/>
      <c r="AS17" s="22"/>
    </row>
    <row r="18" spans="1:45" s="99" customFormat="1" ht="43.5" customHeight="1" x14ac:dyDescent="0.55000000000000004">
      <c r="A18" s="99" t="s">
        <v>131</v>
      </c>
      <c r="B18" s="98"/>
      <c r="C18" s="98"/>
      <c r="D18" s="98"/>
      <c r="E18" s="98"/>
      <c r="F18" s="98"/>
      <c r="G18" s="98"/>
      <c r="H18" s="98"/>
      <c r="L18" s="216"/>
      <c r="N18" s="216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32"/>
      <c r="AL18" s="32"/>
      <c r="AN18" s="101"/>
      <c r="AO18" s="101"/>
      <c r="AP18" s="101"/>
      <c r="AR18" s="22"/>
      <c r="AS18" s="22"/>
    </row>
    <row r="19" spans="1:45" s="22" customFormat="1" ht="133.5" customHeight="1" x14ac:dyDescent="0.55000000000000004">
      <c r="A19" s="73" t="s">
        <v>384</v>
      </c>
      <c r="B19" s="73"/>
      <c r="C19" s="74"/>
      <c r="D19" s="74" t="s">
        <v>389</v>
      </c>
      <c r="E19" s="74" t="s">
        <v>53</v>
      </c>
      <c r="F19" s="74" t="s">
        <v>52</v>
      </c>
      <c r="G19" s="74"/>
      <c r="H19" s="121" t="s">
        <v>390</v>
      </c>
      <c r="I19" s="73" t="s">
        <v>349</v>
      </c>
      <c r="J19" s="73">
        <v>55</v>
      </c>
      <c r="K19" s="186"/>
      <c r="L19" s="214">
        <v>0.5</v>
      </c>
      <c r="M19" s="237">
        <f>Z19/2</f>
        <v>450980.2</v>
      </c>
      <c r="N19" s="214">
        <v>0.5</v>
      </c>
      <c r="O19" s="237">
        <f>Z19/2</f>
        <v>450980.2</v>
      </c>
      <c r="P19" s="186"/>
      <c r="Q19" s="73" t="s">
        <v>28</v>
      </c>
      <c r="R19" s="73" t="s">
        <v>28</v>
      </c>
      <c r="S19" s="74"/>
      <c r="T19" s="74"/>
      <c r="U19" s="152"/>
      <c r="V19" s="76">
        <v>0</v>
      </c>
      <c r="W19" s="76"/>
      <c r="X19" s="76"/>
      <c r="Y19" s="76">
        <v>901960.4</v>
      </c>
      <c r="Z19" s="76">
        <f>SUM(AA19:AI19)</f>
        <v>901960.4</v>
      </c>
      <c r="AA19" s="153"/>
      <c r="AB19" s="75"/>
      <c r="AC19" s="75">
        <v>861960.4</v>
      </c>
      <c r="AD19" s="75"/>
      <c r="AE19" s="75"/>
      <c r="AF19" s="75"/>
      <c r="AG19" s="153"/>
      <c r="AH19" s="153"/>
      <c r="AI19" s="153">
        <v>40000</v>
      </c>
      <c r="AJ19" s="250"/>
      <c r="AK19" s="152" t="s">
        <v>220</v>
      </c>
      <c r="AL19" s="250"/>
      <c r="AM19" s="152">
        <f t="shared" ref="AM19:AM23" si="11">AA19</f>
        <v>0</v>
      </c>
      <c r="AN19" s="152">
        <f t="shared" ref="AN19:AN23" si="12">AB19</f>
        <v>0</v>
      </c>
      <c r="AO19" s="152">
        <f>AC19+AD19+AE19+AF19+AG19+AH19</f>
        <v>861960.4</v>
      </c>
      <c r="AP19" s="152">
        <f>AI19</f>
        <v>40000</v>
      </c>
    </row>
    <row r="20" spans="1:45" s="22" customFormat="1" ht="133.5" customHeight="1" x14ac:dyDescent="0.55000000000000004">
      <c r="A20" s="73" t="s">
        <v>385</v>
      </c>
      <c r="B20" s="73"/>
      <c r="C20" s="74"/>
      <c r="D20" s="74" t="s">
        <v>389</v>
      </c>
      <c r="E20" s="74" t="s">
        <v>53</v>
      </c>
      <c r="F20" s="74" t="s">
        <v>52</v>
      </c>
      <c r="G20" s="74"/>
      <c r="H20" s="121" t="s">
        <v>391</v>
      </c>
      <c r="I20" s="73" t="s">
        <v>49</v>
      </c>
      <c r="J20" s="73">
        <v>230</v>
      </c>
      <c r="K20" s="186"/>
      <c r="L20" s="214">
        <v>0.5</v>
      </c>
      <c r="M20" s="206">
        <f>Z20/2</f>
        <v>541176.24</v>
      </c>
      <c r="N20" s="214">
        <v>0.5</v>
      </c>
      <c r="O20" s="206">
        <f>Z20/2</f>
        <v>541176.24</v>
      </c>
      <c r="P20" s="186"/>
      <c r="Q20" s="73" t="s">
        <v>28</v>
      </c>
      <c r="R20" s="73" t="s">
        <v>28</v>
      </c>
      <c r="S20" s="74"/>
      <c r="T20" s="74"/>
      <c r="U20" s="152"/>
      <c r="V20" s="76">
        <v>0</v>
      </c>
      <c r="W20" s="76"/>
      <c r="X20" s="76"/>
      <c r="Y20" s="76">
        <v>1082352.48</v>
      </c>
      <c r="Z20" s="76">
        <f>SUM(AA20:AI20)</f>
        <v>1082352.48</v>
      </c>
      <c r="AA20" s="153"/>
      <c r="AB20" s="75"/>
      <c r="AC20" s="75">
        <v>1034352.48</v>
      </c>
      <c r="AD20" s="75"/>
      <c r="AE20" s="75"/>
      <c r="AF20" s="75"/>
      <c r="AG20" s="153"/>
      <c r="AH20" s="153"/>
      <c r="AI20" s="153">
        <v>48000</v>
      </c>
      <c r="AJ20" s="163">
        <f>SUM(AJ15:AJ16)</f>
        <v>0</v>
      </c>
      <c r="AK20" s="152" t="s">
        <v>220</v>
      </c>
      <c r="AL20" s="163">
        <f>SUM(AL15:AL16)</f>
        <v>0</v>
      </c>
      <c r="AM20" s="152">
        <f t="shared" ref="AM20:AM21" si="13">AA20</f>
        <v>0</v>
      </c>
      <c r="AN20" s="152">
        <f t="shared" ref="AN20:AN21" si="14">AB20</f>
        <v>0</v>
      </c>
      <c r="AO20" s="152">
        <f t="shared" ref="AO20:AO21" si="15">AC20+AD20+AE20+AF20+AG20+AH20</f>
        <v>1034352.48</v>
      </c>
      <c r="AP20" s="152">
        <f t="shared" ref="AP20:AP21" si="16">AI20</f>
        <v>48000</v>
      </c>
    </row>
    <row r="21" spans="1:45" s="22" customFormat="1" ht="121.5" customHeight="1" x14ac:dyDescent="0.55000000000000004">
      <c r="A21" s="73" t="s">
        <v>386</v>
      </c>
      <c r="B21" s="73"/>
      <c r="C21" s="74"/>
      <c r="D21" s="74" t="s">
        <v>389</v>
      </c>
      <c r="E21" s="74" t="s">
        <v>53</v>
      </c>
      <c r="F21" s="74" t="s">
        <v>52</v>
      </c>
      <c r="G21" s="74"/>
      <c r="H21" s="121" t="s">
        <v>392</v>
      </c>
      <c r="I21" s="73" t="s">
        <v>95</v>
      </c>
      <c r="J21" s="73"/>
      <c r="K21" s="186"/>
      <c r="L21" s="214">
        <v>0.5</v>
      </c>
      <c r="M21" s="206">
        <f>Z21/2</f>
        <v>766666.34</v>
      </c>
      <c r="N21" s="214">
        <v>0.5</v>
      </c>
      <c r="O21" s="206">
        <f>Z21/2</f>
        <v>766666.34</v>
      </c>
      <c r="P21" s="186"/>
      <c r="Q21" s="73" t="s">
        <v>28</v>
      </c>
      <c r="R21" s="73" t="s">
        <v>28</v>
      </c>
      <c r="S21" s="74"/>
      <c r="T21" s="74"/>
      <c r="U21" s="152"/>
      <c r="V21" s="76">
        <v>0</v>
      </c>
      <c r="W21" s="76"/>
      <c r="X21" s="76"/>
      <c r="Y21" s="76">
        <v>1533332.68</v>
      </c>
      <c r="Z21" s="76">
        <f>SUM(AA21:AI21)</f>
        <v>1533332.68</v>
      </c>
      <c r="AA21" s="153"/>
      <c r="AB21" s="75"/>
      <c r="AC21" s="75">
        <v>1465332.68</v>
      </c>
      <c r="AD21" s="75"/>
      <c r="AE21" s="75"/>
      <c r="AF21" s="75"/>
      <c r="AG21" s="153"/>
      <c r="AH21" s="153"/>
      <c r="AI21" s="153">
        <v>68000</v>
      </c>
      <c r="AJ21" s="162" t="e">
        <f>#REF!</f>
        <v>#REF!</v>
      </c>
      <c r="AK21" s="152" t="s">
        <v>220</v>
      </c>
      <c r="AL21" s="162" t="e">
        <f>#REF!</f>
        <v>#REF!</v>
      </c>
      <c r="AM21" s="152">
        <f t="shared" si="13"/>
        <v>0</v>
      </c>
      <c r="AN21" s="152">
        <f t="shared" si="14"/>
        <v>0</v>
      </c>
      <c r="AO21" s="152">
        <f t="shared" si="15"/>
        <v>1465332.68</v>
      </c>
      <c r="AP21" s="152">
        <f t="shared" si="16"/>
        <v>68000</v>
      </c>
    </row>
    <row r="22" spans="1:45" s="22" customFormat="1" ht="133.5" customHeight="1" x14ac:dyDescent="0.55000000000000004">
      <c r="A22" s="73" t="s">
        <v>387</v>
      </c>
      <c r="B22" s="73"/>
      <c r="C22" s="74"/>
      <c r="D22" s="74" t="s">
        <v>389</v>
      </c>
      <c r="E22" s="74" t="s">
        <v>53</v>
      </c>
      <c r="F22" s="74" t="s">
        <v>52</v>
      </c>
      <c r="G22" s="74"/>
      <c r="H22" s="121" t="s">
        <v>393</v>
      </c>
      <c r="I22" s="73" t="s">
        <v>45</v>
      </c>
      <c r="J22" s="73">
        <v>230</v>
      </c>
      <c r="K22" s="186"/>
      <c r="L22" s="214">
        <v>0.5</v>
      </c>
      <c r="M22" s="206">
        <f>Z22/2</f>
        <v>135294.06</v>
      </c>
      <c r="N22" s="214">
        <v>0.5</v>
      </c>
      <c r="O22" s="206">
        <f>Z22/2</f>
        <v>135294.06</v>
      </c>
      <c r="P22" s="186"/>
      <c r="Q22" s="73" t="s">
        <v>28</v>
      </c>
      <c r="R22" s="73" t="s">
        <v>28</v>
      </c>
      <c r="S22" s="74"/>
      <c r="T22" s="74"/>
      <c r="U22" s="152"/>
      <c r="V22" s="76">
        <v>0</v>
      </c>
      <c r="W22" s="76"/>
      <c r="X22" s="76"/>
      <c r="Y22" s="76">
        <v>270588.12</v>
      </c>
      <c r="Z22" s="76">
        <f>SUM(AA22:AI22)</f>
        <v>270588.12</v>
      </c>
      <c r="AA22" s="153"/>
      <c r="AB22" s="75"/>
      <c r="AC22" s="75">
        <v>24576.51567999972</v>
      </c>
      <c r="AD22" s="75">
        <v>234011.60432000028</v>
      </c>
      <c r="AE22" s="75"/>
      <c r="AF22" s="75"/>
      <c r="AG22" s="153"/>
      <c r="AH22" s="153"/>
      <c r="AI22" s="153">
        <v>12000</v>
      </c>
      <c r="AJ22" s="163">
        <f>SUM(AJ17:AJ19)</f>
        <v>0</v>
      </c>
      <c r="AK22" s="152" t="s">
        <v>220</v>
      </c>
      <c r="AL22" s="163">
        <f>SUM(AL17:AL19)</f>
        <v>0</v>
      </c>
      <c r="AM22" s="152">
        <f t="shared" si="11"/>
        <v>0</v>
      </c>
      <c r="AN22" s="152">
        <f t="shared" si="12"/>
        <v>0</v>
      </c>
      <c r="AO22" s="152">
        <f t="shared" ref="AO22:AO23" si="17">AC22+AD22+AE22+AF22+AG22+AH22</f>
        <v>258588.12</v>
      </c>
      <c r="AP22" s="152">
        <f t="shared" ref="AP22:AP23" si="18">AI22</f>
        <v>12000</v>
      </c>
    </row>
    <row r="23" spans="1:45" s="22" customFormat="1" ht="121.5" customHeight="1" x14ac:dyDescent="0.55000000000000004">
      <c r="A23" s="73" t="s">
        <v>388</v>
      </c>
      <c r="B23" s="73"/>
      <c r="C23" s="74"/>
      <c r="D23" s="74" t="s">
        <v>389</v>
      </c>
      <c r="E23" s="74" t="s">
        <v>53</v>
      </c>
      <c r="F23" s="74" t="s">
        <v>52</v>
      </c>
      <c r="G23" s="74"/>
      <c r="H23" s="121" t="s">
        <v>394</v>
      </c>
      <c r="I23" s="73" t="s">
        <v>45</v>
      </c>
      <c r="J23" s="73"/>
      <c r="K23" s="186"/>
      <c r="L23" s="214">
        <v>0.5</v>
      </c>
      <c r="M23" s="206">
        <f>Z23/2</f>
        <v>90196.04</v>
      </c>
      <c r="N23" s="214">
        <v>0.5</v>
      </c>
      <c r="O23" s="206">
        <f>Z23/2</f>
        <v>90196.04</v>
      </c>
      <c r="P23" s="186"/>
      <c r="Q23" s="73" t="s">
        <v>28</v>
      </c>
      <c r="R23" s="73" t="s">
        <v>28</v>
      </c>
      <c r="S23" s="74"/>
      <c r="T23" s="74"/>
      <c r="U23" s="152"/>
      <c r="V23" s="76">
        <v>0</v>
      </c>
      <c r="W23" s="76"/>
      <c r="X23" s="76"/>
      <c r="Y23" s="76">
        <v>180392.08</v>
      </c>
      <c r="Z23" s="76">
        <f>SUM(AA23:AI23)</f>
        <v>180392.08</v>
      </c>
      <c r="AA23" s="153"/>
      <c r="AB23" s="75"/>
      <c r="AC23" s="75"/>
      <c r="AD23" s="75">
        <v>172392.08</v>
      </c>
      <c r="AE23" s="75"/>
      <c r="AF23" s="75"/>
      <c r="AG23" s="153"/>
      <c r="AH23" s="153"/>
      <c r="AI23" s="153">
        <v>8000</v>
      </c>
      <c r="AJ23" s="162" t="e">
        <f>#REF!</f>
        <v>#REF!</v>
      </c>
      <c r="AK23" s="152" t="s">
        <v>220</v>
      </c>
      <c r="AL23" s="162" t="e">
        <f>#REF!</f>
        <v>#REF!</v>
      </c>
      <c r="AM23" s="152">
        <f t="shared" si="11"/>
        <v>0</v>
      </c>
      <c r="AN23" s="152">
        <f t="shared" si="12"/>
        <v>0</v>
      </c>
      <c r="AO23" s="152">
        <f t="shared" si="17"/>
        <v>172392.08</v>
      </c>
      <c r="AP23" s="152">
        <f t="shared" si="18"/>
        <v>8000</v>
      </c>
    </row>
    <row r="24" spans="1:45" s="22" customFormat="1" ht="63" customHeight="1" x14ac:dyDescent="0.55000000000000004">
      <c r="A24" s="14"/>
      <c r="B24" s="14"/>
      <c r="C24" s="14"/>
      <c r="D24" s="14"/>
      <c r="E24" s="14"/>
      <c r="F24" s="14"/>
      <c r="G24" s="14"/>
      <c r="H24" s="14"/>
      <c r="I24" s="15"/>
      <c r="J24" s="150">
        <f>SUM(J19:J23)</f>
        <v>515</v>
      </c>
      <c r="K24" s="187"/>
      <c r="L24" s="150">
        <f>SUM(L19:L23)</f>
        <v>2.5</v>
      </c>
      <c r="M24" s="89">
        <f>SUM(M19:M23)</f>
        <v>1984312.88</v>
      </c>
      <c r="N24" s="150">
        <f>SUM(N19:N23)</f>
        <v>2.5</v>
      </c>
      <c r="O24" s="89">
        <f>SUM(O19:O23)</f>
        <v>1984312.88</v>
      </c>
      <c r="P24" s="187"/>
      <c r="Q24" s="15"/>
      <c r="R24" s="15"/>
      <c r="S24" s="14"/>
      <c r="T24" s="15"/>
      <c r="U24" s="15"/>
      <c r="V24" s="89">
        <f t="shared" ref="V24:Y24" si="19">SUM(V19:V23)</f>
        <v>0</v>
      </c>
      <c r="W24" s="89">
        <f t="shared" si="19"/>
        <v>0</v>
      </c>
      <c r="X24" s="89">
        <f t="shared" si="19"/>
        <v>0</v>
      </c>
      <c r="Y24" s="89">
        <f t="shared" si="19"/>
        <v>3968625.76</v>
      </c>
      <c r="Z24" s="89">
        <f>SUM(Z19:Z23)</f>
        <v>3968625.76</v>
      </c>
      <c r="AA24" s="89">
        <f t="shared" ref="AA24:AJ24" si="20">SUM(AA19:AA23)</f>
        <v>0</v>
      </c>
      <c r="AB24" s="89">
        <f t="shared" si="20"/>
        <v>0</v>
      </c>
      <c r="AC24" s="89">
        <f t="shared" si="20"/>
        <v>3386222.0756799993</v>
      </c>
      <c r="AD24" s="89">
        <f t="shared" si="20"/>
        <v>406403.68432000023</v>
      </c>
      <c r="AE24" s="89">
        <f t="shared" si="20"/>
        <v>0</v>
      </c>
      <c r="AF24" s="89">
        <f t="shared" si="20"/>
        <v>0</v>
      </c>
      <c r="AG24" s="89">
        <f t="shared" si="20"/>
        <v>0</v>
      </c>
      <c r="AH24" s="89">
        <f t="shared" si="20"/>
        <v>0</v>
      </c>
      <c r="AI24" s="89">
        <f t="shared" si="20"/>
        <v>176000</v>
      </c>
      <c r="AJ24" s="294" t="e">
        <f t="shared" si="20"/>
        <v>#REF!</v>
      </c>
      <c r="AK24" s="296"/>
      <c r="AL24" s="260" t="e">
        <f t="shared" ref="AL24:AP24" si="21">SUM(AL19:AL23)</f>
        <v>#REF!</v>
      </c>
      <c r="AM24" s="89">
        <f t="shared" si="21"/>
        <v>0</v>
      </c>
      <c r="AN24" s="89">
        <f t="shared" si="21"/>
        <v>0</v>
      </c>
      <c r="AO24" s="89">
        <f t="shared" si="21"/>
        <v>3792625.76</v>
      </c>
      <c r="AP24" s="89">
        <f t="shared" si="21"/>
        <v>176000</v>
      </c>
    </row>
    <row r="25" spans="1:45" s="92" customFormat="1" ht="24" customHeight="1" x14ac:dyDescent="0.55000000000000004">
      <c r="A25" s="90"/>
      <c r="B25" s="91"/>
      <c r="C25" s="91"/>
      <c r="D25" s="91"/>
      <c r="E25" s="91"/>
      <c r="F25" s="91"/>
      <c r="G25" s="91"/>
      <c r="H25" s="91"/>
      <c r="L25" s="217"/>
      <c r="M25" s="91"/>
      <c r="N25" s="217"/>
      <c r="O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6"/>
      <c r="AL25" s="91"/>
      <c r="AM25" s="174"/>
      <c r="AN25" s="174"/>
      <c r="AO25" s="174"/>
      <c r="AP25" s="174"/>
      <c r="AR25" s="22"/>
      <c r="AS25" s="22"/>
    </row>
    <row r="26" spans="1:45" s="22" customFormat="1" ht="67.5" customHeight="1" x14ac:dyDescent="0.55000000000000004">
      <c r="A26" s="27"/>
      <c r="B26" s="27"/>
      <c r="C26" s="27"/>
      <c r="D26" s="27"/>
      <c r="E26" s="27"/>
      <c r="F26" s="27"/>
      <c r="G26" s="27"/>
      <c r="H26" s="28"/>
      <c r="J26" s="212">
        <f t="shared" ref="J26" si="22">J24</f>
        <v>515</v>
      </c>
      <c r="K26" s="204"/>
      <c r="L26" s="212">
        <f t="shared" ref="L26:O26" si="23">L24</f>
        <v>2.5</v>
      </c>
      <c r="M26" s="133">
        <f t="shared" si="23"/>
        <v>1984312.88</v>
      </c>
      <c r="N26" s="212">
        <f t="shared" si="23"/>
        <v>2.5</v>
      </c>
      <c r="O26" s="133">
        <f t="shared" si="23"/>
        <v>1984312.88</v>
      </c>
      <c r="P26" s="205"/>
      <c r="Q26" s="337" t="s">
        <v>22</v>
      </c>
      <c r="R26" s="338"/>
      <c r="S26" s="338"/>
      <c r="T26" s="338"/>
      <c r="V26" s="133">
        <f t="shared" ref="V26:Y26" si="24">V24</f>
        <v>0</v>
      </c>
      <c r="W26" s="133">
        <f t="shared" si="24"/>
        <v>0</v>
      </c>
      <c r="X26" s="133">
        <f t="shared" si="24"/>
        <v>0</v>
      </c>
      <c r="Y26" s="133">
        <f t="shared" si="24"/>
        <v>3968625.76</v>
      </c>
      <c r="Z26" s="133">
        <f>Z24</f>
        <v>3968625.76</v>
      </c>
      <c r="AA26" s="133">
        <f t="shared" ref="AA26:AJ26" si="25">AA24</f>
        <v>0</v>
      </c>
      <c r="AB26" s="133">
        <f t="shared" si="25"/>
        <v>0</v>
      </c>
      <c r="AC26" s="133">
        <f t="shared" si="25"/>
        <v>3386222.0756799993</v>
      </c>
      <c r="AD26" s="133">
        <f t="shared" si="25"/>
        <v>406403.68432000023</v>
      </c>
      <c r="AE26" s="133">
        <f t="shared" si="25"/>
        <v>0</v>
      </c>
      <c r="AF26" s="133">
        <f t="shared" si="25"/>
        <v>0</v>
      </c>
      <c r="AG26" s="133">
        <f t="shared" si="25"/>
        <v>0</v>
      </c>
      <c r="AH26" s="133">
        <f t="shared" si="25"/>
        <v>0</v>
      </c>
      <c r="AI26" s="133">
        <f t="shared" si="25"/>
        <v>176000</v>
      </c>
      <c r="AJ26" s="295" t="e">
        <f t="shared" si="25"/>
        <v>#REF!</v>
      </c>
      <c r="AK26" s="96"/>
      <c r="AL26" s="261" t="e">
        <f t="shared" ref="AL26:AP26" si="26">AL24</f>
        <v>#REF!</v>
      </c>
      <c r="AM26" s="133">
        <f t="shared" si="26"/>
        <v>0</v>
      </c>
      <c r="AN26" s="133">
        <f t="shared" si="26"/>
        <v>0</v>
      </c>
      <c r="AO26" s="133">
        <f t="shared" si="26"/>
        <v>3792625.76</v>
      </c>
      <c r="AP26" s="133">
        <f t="shared" si="26"/>
        <v>176000</v>
      </c>
    </row>
    <row r="27" spans="1:45" s="22" customFormat="1" ht="27" customHeight="1" x14ac:dyDescent="0.55000000000000004">
      <c r="A27" s="169"/>
      <c r="B27" s="170"/>
      <c r="C27" s="170"/>
      <c r="D27" s="170"/>
      <c r="E27" s="170"/>
      <c r="F27" s="170"/>
      <c r="G27" s="170"/>
      <c r="H27" s="14"/>
      <c r="I27" s="171"/>
      <c r="J27" s="171"/>
      <c r="K27" s="185"/>
      <c r="L27" s="218"/>
      <c r="M27" s="171"/>
      <c r="N27" s="218"/>
      <c r="O27" s="171"/>
      <c r="P27" s="185"/>
      <c r="Q27" s="14"/>
      <c r="R27" s="14"/>
      <c r="S27" s="172"/>
      <c r="T27" s="172"/>
      <c r="U27" s="172"/>
      <c r="V27" s="21"/>
      <c r="W27" s="21"/>
      <c r="X27" s="21"/>
      <c r="Y27" s="21"/>
      <c r="Z27" s="21"/>
      <c r="AA27" s="172"/>
      <c r="AB27" s="172"/>
      <c r="AC27" s="172"/>
      <c r="AD27" s="172"/>
      <c r="AE27" s="172"/>
      <c r="AF27" s="172"/>
      <c r="AG27" s="172"/>
      <c r="AH27" s="172"/>
      <c r="AI27" s="172"/>
      <c r="AJ27" s="32"/>
      <c r="AK27" s="13"/>
      <c r="AL27" s="32"/>
      <c r="AM27" s="13"/>
      <c r="AN27" s="31"/>
      <c r="AO27" s="31"/>
      <c r="AP27" s="31"/>
    </row>
    <row r="28" spans="1:45" s="92" customFormat="1" ht="42" x14ac:dyDescent="0.55000000000000004">
      <c r="A28" s="169"/>
      <c r="B28" s="170"/>
      <c r="C28" s="170"/>
      <c r="D28" s="170"/>
      <c r="E28" s="170"/>
      <c r="F28" s="170"/>
      <c r="G28" s="170"/>
      <c r="H28" s="14"/>
      <c r="I28" s="171"/>
      <c r="J28" s="171"/>
      <c r="K28" s="185"/>
      <c r="L28" s="218"/>
      <c r="M28" s="171"/>
      <c r="N28" s="218"/>
      <c r="O28" s="171"/>
      <c r="P28" s="185"/>
      <c r="Q28" s="14"/>
      <c r="R28" s="14"/>
      <c r="S28" s="172"/>
      <c r="T28" s="172"/>
      <c r="U28" s="172"/>
      <c r="V28" s="95"/>
      <c r="W28" s="95"/>
      <c r="X28" s="95"/>
      <c r="Y28" s="95"/>
      <c r="Z28" s="95"/>
      <c r="AA28" s="172"/>
      <c r="AB28" s="172"/>
      <c r="AC28" s="173"/>
      <c r="AD28" s="172"/>
      <c r="AE28" s="172"/>
      <c r="AF28" s="172"/>
      <c r="AG28" s="172"/>
      <c r="AH28" s="172"/>
      <c r="AI28" s="173"/>
      <c r="AJ28" s="32"/>
      <c r="AK28" s="96"/>
      <c r="AL28" s="32"/>
      <c r="AM28" s="96"/>
      <c r="AN28" s="94"/>
      <c r="AO28" s="94"/>
      <c r="AP28" s="94"/>
      <c r="AR28" s="22"/>
      <c r="AS28" s="22"/>
    </row>
    <row r="29" spans="1:45" s="85" customFormat="1" ht="43.5" customHeight="1" x14ac:dyDescent="0.55000000000000004">
      <c r="A29" s="85" t="s">
        <v>152</v>
      </c>
      <c r="B29" s="86"/>
      <c r="C29" s="86"/>
      <c r="D29" s="86"/>
      <c r="E29" s="86"/>
      <c r="F29" s="86"/>
      <c r="G29" s="86"/>
      <c r="H29" s="86"/>
      <c r="L29" s="219"/>
      <c r="N29" s="219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32">
        <f t="shared" ref="AJ29:AL29" si="27">SUM(AJ9)</f>
        <v>0</v>
      </c>
      <c r="AL29" s="32">
        <f t="shared" si="27"/>
        <v>0</v>
      </c>
      <c r="AN29" s="88"/>
      <c r="AO29" s="88"/>
      <c r="AP29" s="88"/>
      <c r="AR29" s="22"/>
      <c r="AS29" s="22"/>
    </row>
    <row r="30" spans="1:45" s="22" customFormat="1" ht="210" x14ac:dyDescent="0.55000000000000004">
      <c r="A30" s="73" t="s">
        <v>325</v>
      </c>
      <c r="B30" s="73"/>
      <c r="C30" s="74"/>
      <c r="D30" s="74" t="s">
        <v>20</v>
      </c>
      <c r="E30" s="74" t="s">
        <v>20</v>
      </c>
      <c r="F30" s="74" t="s">
        <v>20</v>
      </c>
      <c r="G30" s="74"/>
      <c r="H30" s="121" t="s">
        <v>47</v>
      </c>
      <c r="I30" s="73" t="s">
        <v>42</v>
      </c>
      <c r="J30" s="73">
        <v>1000</v>
      </c>
      <c r="K30" s="186"/>
      <c r="L30" s="214">
        <v>1</v>
      </c>
      <c r="M30" s="203">
        <f>Z30</f>
        <v>540000</v>
      </c>
      <c r="N30" s="214"/>
      <c r="O30" s="203"/>
      <c r="P30" s="186"/>
      <c r="Q30" s="73" t="s">
        <v>44</v>
      </c>
      <c r="R30" s="73" t="s">
        <v>44</v>
      </c>
      <c r="S30" s="153" t="s">
        <v>20</v>
      </c>
      <c r="T30" s="153" t="s">
        <v>20</v>
      </c>
      <c r="U30" s="153" t="s">
        <v>20</v>
      </c>
      <c r="V30" s="76">
        <v>540000</v>
      </c>
      <c r="W30" s="76"/>
      <c r="X30" s="76"/>
      <c r="Y30" s="76"/>
      <c r="Z30" s="76">
        <f>SUM(AA30:AI30)</f>
        <v>540000</v>
      </c>
      <c r="AA30" s="153"/>
      <c r="AB30" s="75">
        <v>405000</v>
      </c>
      <c r="AC30" s="75"/>
      <c r="AD30" s="75"/>
      <c r="AE30" s="75"/>
      <c r="AF30" s="153">
        <v>135000</v>
      </c>
      <c r="AG30" s="75"/>
      <c r="AH30" s="153"/>
      <c r="AI30" s="153"/>
      <c r="AJ30" s="251"/>
      <c r="AK30" s="152" t="s">
        <v>321</v>
      </c>
      <c r="AL30" s="251"/>
      <c r="AM30" s="152">
        <f>AA30</f>
        <v>0</v>
      </c>
      <c r="AN30" s="152">
        <f>AB30</f>
        <v>405000</v>
      </c>
      <c r="AO30" s="152">
        <f>AC30+AD30+AE30+AF30+AG30+AH30</f>
        <v>135000</v>
      </c>
      <c r="AP30" s="152">
        <f>AI30</f>
        <v>0</v>
      </c>
    </row>
    <row r="31" spans="1:45" s="22" customFormat="1" ht="63" customHeight="1" x14ac:dyDescent="0.55000000000000004">
      <c r="A31" s="14"/>
      <c r="B31" s="14"/>
      <c r="C31" s="14"/>
      <c r="D31" s="14"/>
      <c r="E31" s="14"/>
      <c r="F31" s="14"/>
      <c r="G31" s="14"/>
      <c r="H31" s="14"/>
      <c r="I31" s="15"/>
      <c r="J31" s="150">
        <f>SUM(J30)</f>
        <v>1000</v>
      </c>
      <c r="K31" s="187"/>
      <c r="L31" s="150">
        <f t="shared" ref="L31" si="28">SUM(L30:L30)</f>
        <v>1</v>
      </c>
      <c r="M31" s="89">
        <f t="shared" ref="M31:O31" si="29">SUM(M30:M30)</f>
        <v>540000</v>
      </c>
      <c r="N31" s="150">
        <f t="shared" si="29"/>
        <v>0</v>
      </c>
      <c r="O31" s="89">
        <f t="shared" si="29"/>
        <v>0</v>
      </c>
      <c r="P31" s="187"/>
      <c r="Q31" s="15"/>
      <c r="R31" s="15"/>
      <c r="S31" s="14"/>
      <c r="T31" s="15"/>
      <c r="U31" s="15"/>
      <c r="V31" s="89">
        <f t="shared" ref="V31:Y31" si="30">SUM(V30:V30)</f>
        <v>540000</v>
      </c>
      <c r="W31" s="89">
        <f t="shared" si="30"/>
        <v>0</v>
      </c>
      <c r="X31" s="89">
        <f t="shared" si="30"/>
        <v>0</v>
      </c>
      <c r="Y31" s="89">
        <f t="shared" si="30"/>
        <v>0</v>
      </c>
      <c r="Z31" s="89">
        <f>SUM(Z30:Z30)</f>
        <v>540000</v>
      </c>
      <c r="AA31" s="89">
        <f t="shared" ref="AA31:AP31" si="31">SUM(AA30:AA30)</f>
        <v>0</v>
      </c>
      <c r="AB31" s="89">
        <f t="shared" si="31"/>
        <v>405000</v>
      </c>
      <c r="AC31" s="89">
        <f t="shared" si="31"/>
        <v>0</v>
      </c>
      <c r="AD31" s="89">
        <f t="shared" si="31"/>
        <v>0</v>
      </c>
      <c r="AE31" s="89">
        <f t="shared" si="31"/>
        <v>0</v>
      </c>
      <c r="AF31" s="89">
        <f t="shared" ref="AF31:AG31" si="32">SUM(AF30:AF30)</f>
        <v>135000</v>
      </c>
      <c r="AG31" s="89">
        <f t="shared" si="32"/>
        <v>0</v>
      </c>
      <c r="AH31" s="89">
        <f t="shared" si="31"/>
        <v>0</v>
      </c>
      <c r="AI31" s="89">
        <f t="shared" si="31"/>
        <v>0</v>
      </c>
      <c r="AJ31" s="294">
        <f t="shared" ref="AJ31" si="33">SUM(AJ30:AJ30)</f>
        <v>0</v>
      </c>
      <c r="AK31" s="296"/>
      <c r="AL31" s="260">
        <f t="shared" si="31"/>
        <v>0</v>
      </c>
      <c r="AM31" s="89">
        <f t="shared" si="31"/>
        <v>0</v>
      </c>
      <c r="AN31" s="89">
        <f t="shared" si="31"/>
        <v>405000</v>
      </c>
      <c r="AO31" s="89">
        <f t="shared" si="31"/>
        <v>135000</v>
      </c>
      <c r="AP31" s="89">
        <f t="shared" si="31"/>
        <v>0</v>
      </c>
    </row>
    <row r="32" spans="1:45" s="92" customFormat="1" ht="24" customHeight="1" x14ac:dyDescent="0.55000000000000004">
      <c r="A32" s="90"/>
      <c r="B32" s="91"/>
      <c r="C32" s="91"/>
      <c r="D32" s="91"/>
      <c r="E32" s="91"/>
      <c r="F32" s="91"/>
      <c r="G32" s="91"/>
      <c r="H32" s="91"/>
      <c r="L32" s="220"/>
      <c r="M32" s="93"/>
      <c r="N32" s="220"/>
      <c r="O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6"/>
      <c r="AL32" s="93"/>
      <c r="AM32" s="174"/>
      <c r="AN32" s="174"/>
      <c r="AO32" s="174"/>
      <c r="AP32" s="174"/>
      <c r="AR32" s="22"/>
      <c r="AS32" s="22"/>
    </row>
    <row r="33" spans="1:45" s="22" customFormat="1" ht="67.5" customHeight="1" x14ac:dyDescent="0.55000000000000004">
      <c r="A33" s="27"/>
      <c r="B33" s="27"/>
      <c r="C33" s="27"/>
      <c r="D33" s="27"/>
      <c r="E33" s="27"/>
      <c r="F33" s="27"/>
      <c r="G33" s="27"/>
      <c r="H33" s="28"/>
      <c r="J33" s="212">
        <f t="shared" ref="J33" si="34">J31</f>
        <v>1000</v>
      </c>
      <c r="K33" s="204"/>
      <c r="L33" s="212">
        <f t="shared" ref="L33:O33" si="35">L31</f>
        <v>1</v>
      </c>
      <c r="M33" s="133">
        <f t="shared" si="35"/>
        <v>540000</v>
      </c>
      <c r="N33" s="212">
        <f t="shared" si="35"/>
        <v>0</v>
      </c>
      <c r="O33" s="133">
        <f t="shared" si="35"/>
        <v>0</v>
      </c>
      <c r="P33" s="205"/>
      <c r="Q33" s="337" t="s">
        <v>22</v>
      </c>
      <c r="R33" s="338"/>
      <c r="S33" s="338"/>
      <c r="T33" s="338"/>
      <c r="V33" s="133">
        <f t="shared" ref="V33:Y33" si="36">V31</f>
        <v>540000</v>
      </c>
      <c r="W33" s="133">
        <f t="shared" si="36"/>
        <v>0</v>
      </c>
      <c r="X33" s="133">
        <f t="shared" si="36"/>
        <v>0</v>
      </c>
      <c r="Y33" s="133">
        <f t="shared" si="36"/>
        <v>0</v>
      </c>
      <c r="Z33" s="133">
        <f>Z31</f>
        <v>540000</v>
      </c>
      <c r="AA33" s="133">
        <f t="shared" ref="AA33:AP33" si="37">AA31</f>
        <v>0</v>
      </c>
      <c r="AB33" s="133">
        <f t="shared" si="37"/>
        <v>405000</v>
      </c>
      <c r="AC33" s="133">
        <f t="shared" si="37"/>
        <v>0</v>
      </c>
      <c r="AD33" s="133">
        <f t="shared" si="37"/>
        <v>0</v>
      </c>
      <c r="AE33" s="133">
        <f t="shared" si="37"/>
        <v>0</v>
      </c>
      <c r="AF33" s="133">
        <f t="shared" ref="AF33:AG33" si="38">AF31</f>
        <v>135000</v>
      </c>
      <c r="AG33" s="133">
        <f t="shared" si="38"/>
        <v>0</v>
      </c>
      <c r="AH33" s="133">
        <f t="shared" si="37"/>
        <v>0</v>
      </c>
      <c r="AI33" s="133">
        <f t="shared" si="37"/>
        <v>0</v>
      </c>
      <c r="AJ33" s="295">
        <f t="shared" ref="AJ33" si="39">AJ31</f>
        <v>0</v>
      </c>
      <c r="AK33" s="96"/>
      <c r="AL33" s="261">
        <f t="shared" si="37"/>
        <v>0</v>
      </c>
      <c r="AM33" s="133">
        <f t="shared" si="37"/>
        <v>0</v>
      </c>
      <c r="AN33" s="133">
        <f t="shared" si="37"/>
        <v>405000</v>
      </c>
      <c r="AO33" s="133">
        <f t="shared" si="37"/>
        <v>135000</v>
      </c>
      <c r="AP33" s="133">
        <f t="shared" si="37"/>
        <v>0</v>
      </c>
    </row>
    <row r="34" spans="1:45" s="22" customFormat="1" ht="27" customHeight="1" x14ac:dyDescent="0.55000000000000004">
      <c r="A34" s="169"/>
      <c r="B34" s="170"/>
      <c r="C34" s="170"/>
      <c r="D34" s="170"/>
      <c r="E34" s="170"/>
      <c r="F34" s="170"/>
      <c r="G34" s="170"/>
      <c r="H34" s="14"/>
      <c r="I34" s="171"/>
      <c r="J34" s="171"/>
      <c r="K34" s="185"/>
      <c r="L34" s="218"/>
      <c r="M34" s="171"/>
      <c r="N34" s="218"/>
      <c r="O34" s="171"/>
      <c r="P34" s="185"/>
      <c r="Q34" s="14"/>
      <c r="R34" s="14"/>
      <c r="S34" s="172"/>
      <c r="T34" s="172"/>
      <c r="U34" s="172"/>
      <c r="W34" s="21"/>
      <c r="X34" s="21"/>
      <c r="Y34" s="21"/>
      <c r="Z34" s="21"/>
      <c r="AA34" s="172"/>
      <c r="AB34" s="172"/>
      <c r="AC34" s="172"/>
      <c r="AD34" s="172"/>
      <c r="AE34" s="172"/>
      <c r="AF34" s="172"/>
      <c r="AG34" s="172"/>
      <c r="AH34" s="172"/>
      <c r="AI34" s="172"/>
      <c r="AJ34" s="32">
        <f t="shared" ref="AJ34:AL34" si="40">AJ32+AJ29</f>
        <v>0</v>
      </c>
      <c r="AK34" s="13"/>
      <c r="AL34" s="32">
        <f t="shared" si="40"/>
        <v>0</v>
      </c>
      <c r="AM34" s="13"/>
      <c r="AN34" s="31"/>
      <c r="AO34" s="31"/>
      <c r="AP34" s="31"/>
    </row>
    <row r="35" spans="1:45" s="92" customFormat="1" ht="42" x14ac:dyDescent="0.55000000000000004">
      <c r="A35" s="169"/>
      <c r="B35" s="170"/>
      <c r="C35" s="170"/>
      <c r="D35" s="170"/>
      <c r="E35" s="170"/>
      <c r="F35" s="170"/>
      <c r="G35" s="170"/>
      <c r="H35" s="14"/>
      <c r="I35" s="171"/>
      <c r="J35" s="171"/>
      <c r="K35" s="185"/>
      <c r="L35" s="218"/>
      <c r="M35" s="171"/>
      <c r="N35" s="218"/>
      <c r="O35" s="171"/>
      <c r="P35" s="185"/>
      <c r="Q35" s="14"/>
      <c r="R35" s="14"/>
      <c r="S35" s="172"/>
      <c r="T35" s="172"/>
      <c r="U35" s="172"/>
      <c r="W35" s="95"/>
      <c r="X35" s="95"/>
      <c r="Y35" s="95"/>
      <c r="Z35" s="95"/>
      <c r="AA35" s="172"/>
      <c r="AB35" s="172"/>
      <c r="AC35" s="173"/>
      <c r="AD35" s="172"/>
      <c r="AE35" s="172"/>
      <c r="AF35" s="172"/>
      <c r="AG35" s="172"/>
      <c r="AH35" s="172"/>
      <c r="AI35" s="173"/>
      <c r="AJ35" s="32"/>
      <c r="AK35" s="96"/>
      <c r="AL35" s="32"/>
      <c r="AM35" s="96"/>
      <c r="AN35" s="94"/>
      <c r="AO35" s="94"/>
      <c r="AP35" s="94"/>
      <c r="AR35" s="22"/>
      <c r="AS35" s="22"/>
    </row>
    <row r="36" spans="1:45" s="85" customFormat="1" ht="43.5" customHeight="1" x14ac:dyDescent="0.55000000000000004">
      <c r="A36" s="85" t="s">
        <v>264</v>
      </c>
      <c r="B36" s="86"/>
      <c r="C36" s="86"/>
      <c r="D36" s="86"/>
      <c r="E36" s="86"/>
      <c r="F36" s="86"/>
      <c r="G36" s="86"/>
      <c r="H36" s="86"/>
      <c r="L36" s="219"/>
      <c r="N36" s="219"/>
      <c r="S36" s="87"/>
      <c r="T36" s="87"/>
      <c r="U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32"/>
      <c r="AL36" s="32"/>
      <c r="AN36" s="88"/>
      <c r="AO36" s="88"/>
      <c r="AP36" s="88"/>
      <c r="AR36" s="22"/>
      <c r="AS36" s="22"/>
    </row>
    <row r="37" spans="1:45" s="22" customFormat="1" ht="237.75" customHeight="1" x14ac:dyDescent="0.55000000000000004">
      <c r="A37" s="73" t="s">
        <v>326</v>
      </c>
      <c r="B37" s="73" t="s">
        <v>143</v>
      </c>
      <c r="C37" s="74" t="s">
        <v>75</v>
      </c>
      <c r="D37" s="74" t="s">
        <v>20</v>
      </c>
      <c r="E37" s="74" t="s">
        <v>20</v>
      </c>
      <c r="F37" s="74" t="s">
        <v>20</v>
      </c>
      <c r="G37" s="74"/>
      <c r="H37" s="121" t="s">
        <v>144</v>
      </c>
      <c r="I37" s="73" t="s">
        <v>42</v>
      </c>
      <c r="J37" s="73">
        <v>23</v>
      </c>
      <c r="K37" s="186"/>
      <c r="L37" s="214"/>
      <c r="M37" s="73"/>
      <c r="N37" s="214">
        <v>1</v>
      </c>
      <c r="O37" s="203">
        <f>Z37</f>
        <v>999900</v>
      </c>
      <c r="P37" s="186"/>
      <c r="Q37" s="73" t="s">
        <v>145</v>
      </c>
      <c r="R37" s="73" t="s">
        <v>145</v>
      </c>
      <c r="S37" s="153" t="s">
        <v>20</v>
      </c>
      <c r="T37" s="153" t="s">
        <v>20</v>
      </c>
      <c r="U37" s="153" t="s">
        <v>20</v>
      </c>
      <c r="V37" s="76">
        <v>999900</v>
      </c>
      <c r="W37" s="76"/>
      <c r="X37" s="76"/>
      <c r="Y37" s="76"/>
      <c r="Z37" s="76">
        <f>SUM(AA37:AI37)</f>
        <v>999900</v>
      </c>
      <c r="AA37" s="153"/>
      <c r="AB37" s="75">
        <v>499950</v>
      </c>
      <c r="AC37" s="75"/>
      <c r="AD37" s="75"/>
      <c r="AE37" s="75"/>
      <c r="AF37" s="75"/>
      <c r="AG37" s="75">
        <v>299970</v>
      </c>
      <c r="AH37" s="153"/>
      <c r="AI37" s="153">
        <v>199980</v>
      </c>
      <c r="AJ37" s="251"/>
      <c r="AK37" s="152" t="s">
        <v>222</v>
      </c>
      <c r="AL37" s="251"/>
      <c r="AM37" s="152">
        <f>AA37</f>
        <v>0</v>
      </c>
      <c r="AN37" s="152">
        <f>AB37</f>
        <v>499950</v>
      </c>
      <c r="AO37" s="152">
        <f>AC37+AD37+AE37+AF37+AG37+AH37</f>
        <v>299970</v>
      </c>
      <c r="AP37" s="152">
        <f>AI37</f>
        <v>199980</v>
      </c>
    </row>
    <row r="38" spans="1:45" s="22" customFormat="1" ht="63" customHeight="1" x14ac:dyDescent="0.55000000000000004">
      <c r="A38" s="14"/>
      <c r="B38" s="14"/>
      <c r="C38" s="14"/>
      <c r="D38" s="14"/>
      <c r="E38" s="14"/>
      <c r="F38" s="14"/>
      <c r="G38" s="14"/>
      <c r="H38" s="14"/>
      <c r="I38" s="15"/>
      <c r="J38" s="150">
        <f>SUM(J37)</f>
        <v>23</v>
      </c>
      <c r="K38" s="187"/>
      <c r="L38" s="150">
        <f t="shared" ref="L38" si="41">SUM(L37:L37)</f>
        <v>0</v>
      </c>
      <c r="M38" s="89">
        <f t="shared" ref="M38:O38" si="42">SUM(M37:M37)</f>
        <v>0</v>
      </c>
      <c r="N38" s="150">
        <f t="shared" ref="N38" si="43">SUM(N37:N37)</f>
        <v>1</v>
      </c>
      <c r="O38" s="89">
        <f t="shared" si="42"/>
        <v>999900</v>
      </c>
      <c r="P38" s="187"/>
      <c r="Q38" s="15"/>
      <c r="R38" s="15"/>
      <c r="S38" s="14"/>
      <c r="T38" s="15"/>
      <c r="U38" s="15"/>
      <c r="V38" s="89">
        <f t="shared" ref="V38:Y38" si="44">SUM(V37:V37)</f>
        <v>999900</v>
      </c>
      <c r="W38" s="89">
        <f t="shared" si="44"/>
        <v>0</v>
      </c>
      <c r="X38" s="89">
        <f t="shared" si="44"/>
        <v>0</v>
      </c>
      <c r="Y38" s="89">
        <f t="shared" si="44"/>
        <v>0</v>
      </c>
      <c r="Z38" s="89">
        <f>SUM(Z37:Z37)</f>
        <v>999900</v>
      </c>
      <c r="AA38" s="89">
        <f t="shared" ref="AA38:AJ38" si="45">SUM(AA37:AA37)</f>
        <v>0</v>
      </c>
      <c r="AB38" s="89">
        <f t="shared" si="45"/>
        <v>499950</v>
      </c>
      <c r="AC38" s="89">
        <f t="shared" si="45"/>
        <v>0</v>
      </c>
      <c r="AD38" s="89">
        <f t="shared" si="45"/>
        <v>0</v>
      </c>
      <c r="AE38" s="89">
        <f t="shared" si="45"/>
        <v>0</v>
      </c>
      <c r="AF38" s="89">
        <f t="shared" si="45"/>
        <v>0</v>
      </c>
      <c r="AG38" s="89">
        <f t="shared" si="45"/>
        <v>299970</v>
      </c>
      <c r="AH38" s="89">
        <f t="shared" si="45"/>
        <v>0</v>
      </c>
      <c r="AI38" s="89">
        <f t="shared" si="45"/>
        <v>199980</v>
      </c>
      <c r="AJ38" s="294">
        <f t="shared" si="45"/>
        <v>0</v>
      </c>
      <c r="AK38" s="297"/>
      <c r="AL38" s="260">
        <f t="shared" ref="AL38:AP38" si="46">SUM(AL37:AL37)</f>
        <v>0</v>
      </c>
      <c r="AM38" s="89">
        <f t="shared" si="46"/>
        <v>0</v>
      </c>
      <c r="AN38" s="89">
        <f t="shared" si="46"/>
        <v>499950</v>
      </c>
      <c r="AO38" s="89">
        <f t="shared" si="46"/>
        <v>299970</v>
      </c>
      <c r="AP38" s="89">
        <f t="shared" si="46"/>
        <v>199980</v>
      </c>
    </row>
    <row r="39" spans="1:45" s="92" customFormat="1" ht="24" customHeight="1" x14ac:dyDescent="0.55000000000000004">
      <c r="A39" s="90"/>
      <c r="B39" s="91"/>
      <c r="C39" s="91"/>
      <c r="D39" s="91"/>
      <c r="E39" s="91"/>
      <c r="F39" s="91"/>
      <c r="G39" s="91"/>
      <c r="H39" s="91"/>
      <c r="L39" s="221"/>
      <c r="M39" s="174"/>
      <c r="N39" s="221"/>
      <c r="O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93"/>
      <c r="AK39" s="93"/>
      <c r="AL39" s="93"/>
      <c r="AM39" s="174"/>
      <c r="AN39" s="174"/>
      <c r="AO39" s="174"/>
      <c r="AP39" s="174"/>
      <c r="AR39" s="22"/>
      <c r="AS39" s="22"/>
    </row>
    <row r="40" spans="1:45" s="22" customFormat="1" ht="67.5" customHeight="1" x14ac:dyDescent="0.55000000000000004">
      <c r="A40" s="27"/>
      <c r="B40" s="27"/>
      <c r="C40" s="27"/>
      <c r="D40" s="27"/>
      <c r="E40" s="27"/>
      <c r="F40" s="27"/>
      <c r="G40" s="27"/>
      <c r="H40" s="28"/>
      <c r="J40" s="212">
        <f t="shared" ref="J40:L40" si="47">J38</f>
        <v>23</v>
      </c>
      <c r="K40" s="204"/>
      <c r="L40" s="212">
        <f t="shared" si="47"/>
        <v>0</v>
      </c>
      <c r="M40" s="133">
        <f t="shared" ref="M40:O40" si="48">M38</f>
        <v>0</v>
      </c>
      <c r="N40" s="212">
        <f t="shared" ref="N40" si="49">N38</f>
        <v>1</v>
      </c>
      <c r="O40" s="133">
        <f t="shared" si="48"/>
        <v>999900</v>
      </c>
      <c r="P40" s="205"/>
      <c r="Q40" s="337" t="s">
        <v>22</v>
      </c>
      <c r="R40" s="338"/>
      <c r="S40" s="338"/>
      <c r="T40" s="338"/>
      <c r="U40" s="183"/>
      <c r="V40" s="133">
        <f t="shared" ref="V40:Y40" si="50">V38</f>
        <v>999900</v>
      </c>
      <c r="W40" s="133">
        <f t="shared" si="50"/>
        <v>0</v>
      </c>
      <c r="X40" s="133">
        <f t="shared" si="50"/>
        <v>0</v>
      </c>
      <c r="Y40" s="133">
        <f t="shared" si="50"/>
        <v>0</v>
      </c>
      <c r="Z40" s="133">
        <f>Z38</f>
        <v>999900</v>
      </c>
      <c r="AA40" s="133">
        <f t="shared" ref="AA40:AJ40" si="51">AA38</f>
        <v>0</v>
      </c>
      <c r="AB40" s="133">
        <f t="shared" si="51"/>
        <v>499950</v>
      </c>
      <c r="AC40" s="133">
        <f t="shared" si="51"/>
        <v>0</v>
      </c>
      <c r="AD40" s="133">
        <f t="shared" si="51"/>
        <v>0</v>
      </c>
      <c r="AE40" s="133">
        <f t="shared" si="51"/>
        <v>0</v>
      </c>
      <c r="AF40" s="133">
        <f t="shared" si="51"/>
        <v>0</v>
      </c>
      <c r="AG40" s="133">
        <f t="shared" si="51"/>
        <v>299970</v>
      </c>
      <c r="AH40" s="133">
        <f t="shared" si="51"/>
        <v>0</v>
      </c>
      <c r="AI40" s="133">
        <f t="shared" si="51"/>
        <v>199980</v>
      </c>
      <c r="AJ40" s="295">
        <f t="shared" si="51"/>
        <v>0</v>
      </c>
      <c r="AK40" s="32"/>
      <c r="AL40" s="261">
        <f t="shared" ref="AL40:AP40" si="52">AL38</f>
        <v>0</v>
      </c>
      <c r="AM40" s="133">
        <f t="shared" si="52"/>
        <v>0</v>
      </c>
      <c r="AN40" s="133">
        <f t="shared" si="52"/>
        <v>499950</v>
      </c>
      <c r="AO40" s="133">
        <f t="shared" si="52"/>
        <v>299970</v>
      </c>
      <c r="AP40" s="133">
        <f t="shared" si="52"/>
        <v>199980</v>
      </c>
    </row>
    <row r="41" spans="1:45" s="22" customFormat="1" ht="27" customHeight="1" x14ac:dyDescent="0.55000000000000004">
      <c r="A41" s="169"/>
      <c r="B41" s="170"/>
      <c r="C41" s="170"/>
      <c r="D41" s="170"/>
      <c r="E41" s="170"/>
      <c r="F41" s="170"/>
      <c r="G41" s="170"/>
      <c r="H41" s="14"/>
      <c r="I41" s="171"/>
      <c r="J41" s="171"/>
      <c r="K41" s="185"/>
      <c r="L41" s="218"/>
      <c r="M41" s="171"/>
      <c r="N41" s="218"/>
      <c r="O41" s="171"/>
      <c r="P41" s="185"/>
      <c r="Q41" s="14"/>
      <c r="R41" s="14"/>
      <c r="S41" s="172"/>
      <c r="T41" s="172"/>
      <c r="U41" s="172"/>
      <c r="W41" s="21"/>
      <c r="X41" s="21"/>
      <c r="Y41" s="21"/>
      <c r="Z41" s="21"/>
      <c r="AA41" s="172"/>
      <c r="AB41" s="172"/>
      <c r="AC41" s="172"/>
      <c r="AD41" s="172"/>
      <c r="AE41" s="172"/>
      <c r="AF41" s="172"/>
      <c r="AG41" s="172"/>
      <c r="AH41" s="172"/>
      <c r="AI41" s="172"/>
      <c r="AJ41" s="32">
        <f t="shared" ref="AJ41:AL41" si="53">AJ39+AJ36</f>
        <v>0</v>
      </c>
      <c r="AK41" s="13"/>
      <c r="AL41" s="32">
        <f t="shared" si="53"/>
        <v>0</v>
      </c>
      <c r="AM41" s="13"/>
      <c r="AN41" s="31"/>
      <c r="AO41" s="31"/>
      <c r="AP41" s="31"/>
    </row>
    <row r="42" spans="1:45" s="92" customFormat="1" ht="42" x14ac:dyDescent="0.55000000000000004">
      <c r="A42" s="169"/>
      <c r="B42" s="170"/>
      <c r="C42" s="170"/>
      <c r="D42" s="170"/>
      <c r="E42" s="170"/>
      <c r="F42" s="170"/>
      <c r="G42" s="170"/>
      <c r="H42" s="14"/>
      <c r="I42" s="171"/>
      <c r="J42" s="171"/>
      <c r="K42" s="185"/>
      <c r="L42" s="218"/>
      <c r="M42" s="171"/>
      <c r="N42" s="218"/>
      <c r="O42" s="171"/>
      <c r="P42" s="185"/>
      <c r="Q42" s="14"/>
      <c r="R42" s="14"/>
      <c r="S42" s="172"/>
      <c r="T42" s="172"/>
      <c r="U42" s="172"/>
      <c r="W42" s="95"/>
      <c r="X42" s="95"/>
      <c r="Y42" s="95"/>
      <c r="Z42" s="95"/>
      <c r="AA42" s="172"/>
      <c r="AB42" s="172"/>
      <c r="AC42" s="173"/>
      <c r="AD42" s="172"/>
      <c r="AE42" s="172"/>
      <c r="AF42" s="172"/>
      <c r="AG42" s="172"/>
      <c r="AH42" s="172"/>
      <c r="AI42" s="173"/>
      <c r="AJ42" s="32"/>
      <c r="AK42" s="96"/>
      <c r="AL42" s="32"/>
      <c r="AM42" s="96"/>
      <c r="AN42" s="94"/>
      <c r="AO42" s="94"/>
      <c r="AP42" s="94"/>
      <c r="AR42" s="22"/>
      <c r="AS42" s="22"/>
    </row>
    <row r="43" spans="1:45" s="106" customFormat="1" ht="43.5" customHeight="1" x14ac:dyDescent="0.55000000000000004">
      <c r="A43" s="85" t="s">
        <v>262</v>
      </c>
      <c r="B43" s="105"/>
      <c r="C43" s="105"/>
      <c r="D43" s="105"/>
      <c r="E43" s="105"/>
      <c r="F43" s="105"/>
      <c r="G43" s="105"/>
      <c r="H43" s="105"/>
      <c r="J43" s="139"/>
      <c r="K43" s="139"/>
      <c r="L43" s="139"/>
      <c r="M43" s="235"/>
      <c r="N43" s="139"/>
      <c r="O43" s="235"/>
      <c r="P43" s="139"/>
      <c r="S43" s="111"/>
      <c r="T43" s="60"/>
      <c r="U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94"/>
      <c r="AL43" s="60"/>
      <c r="AM43" s="94"/>
      <c r="AN43" s="94"/>
      <c r="AO43" s="94"/>
      <c r="AP43" s="94"/>
      <c r="AR43" s="22"/>
      <c r="AS43" s="22"/>
    </row>
    <row r="44" spans="1:45" s="13" customFormat="1" ht="362.25" customHeight="1" x14ac:dyDescent="0.55000000000000004">
      <c r="A44" s="73" t="s">
        <v>327</v>
      </c>
      <c r="B44" s="73"/>
      <c r="C44" s="74"/>
      <c r="D44" s="74" t="s">
        <v>20</v>
      </c>
      <c r="E44" s="74" t="s">
        <v>20</v>
      </c>
      <c r="F44" s="74" t="s">
        <v>20</v>
      </c>
      <c r="G44" s="74" t="s">
        <v>20</v>
      </c>
      <c r="H44" s="121" t="s">
        <v>263</v>
      </c>
      <c r="I44" s="73" t="s">
        <v>29</v>
      </c>
      <c r="J44" s="141"/>
      <c r="K44" s="194"/>
      <c r="L44" s="210">
        <v>0.5</v>
      </c>
      <c r="M44" s="237">
        <f>Z44/2</f>
        <v>2391246.02</v>
      </c>
      <c r="N44" s="210">
        <v>0.5</v>
      </c>
      <c r="O44" s="237">
        <f>Z44/2</f>
        <v>2391246.02</v>
      </c>
      <c r="P44" s="194"/>
      <c r="Q44" s="73" t="s">
        <v>78</v>
      </c>
      <c r="R44" s="73" t="s">
        <v>21</v>
      </c>
      <c r="S44" s="152" t="s">
        <v>20</v>
      </c>
      <c r="T44" s="153" t="s">
        <v>20</v>
      </c>
      <c r="U44" s="153" t="s">
        <v>20</v>
      </c>
      <c r="V44" s="76">
        <v>4782492.04</v>
      </c>
      <c r="W44" s="76"/>
      <c r="X44" s="76"/>
      <c r="Y44" s="76"/>
      <c r="Z44" s="76">
        <f>SUM(AA44:AI44)</f>
        <v>4782492.04</v>
      </c>
      <c r="AA44" s="153"/>
      <c r="AB44" s="153"/>
      <c r="AC44" s="153"/>
      <c r="AD44" s="153"/>
      <c r="AE44" s="153"/>
      <c r="AF44" s="153"/>
      <c r="AG44" s="153">
        <v>4782492.04</v>
      </c>
      <c r="AH44" s="153"/>
      <c r="AI44" s="153"/>
      <c r="AJ44" s="162"/>
      <c r="AK44" s="152" t="s">
        <v>221</v>
      </c>
      <c r="AL44" s="162"/>
      <c r="AM44" s="152">
        <f>AA44</f>
        <v>0</v>
      </c>
      <c r="AN44" s="152">
        <f>AB44</f>
        <v>0</v>
      </c>
      <c r="AO44" s="152">
        <f>AC44+AD44+AE44+AF44+AG44+AH44</f>
        <v>4782492.04</v>
      </c>
      <c r="AP44" s="152">
        <f>AI44</f>
        <v>0</v>
      </c>
      <c r="AR44" s="22"/>
      <c r="AS44" s="22"/>
    </row>
    <row r="45" spans="1:45" s="13" customFormat="1" ht="63" customHeight="1" x14ac:dyDescent="0.55000000000000004">
      <c r="A45" s="14"/>
      <c r="B45" s="14"/>
      <c r="C45" s="14"/>
      <c r="D45" s="14"/>
      <c r="E45" s="14"/>
      <c r="F45" s="14"/>
      <c r="G45" s="14"/>
      <c r="I45" s="15"/>
      <c r="J45" s="150">
        <f>SUM(J44)</f>
        <v>0</v>
      </c>
      <c r="K45" s="202"/>
      <c r="L45" s="213">
        <f>SUM(L44)</f>
        <v>0.5</v>
      </c>
      <c r="M45" s="238">
        <f t="shared" ref="M45:O45" si="54">SUM(M44)</f>
        <v>2391246.02</v>
      </c>
      <c r="N45" s="213">
        <f>SUM(N44)</f>
        <v>0.5</v>
      </c>
      <c r="O45" s="238">
        <f t="shared" si="54"/>
        <v>2391246.02</v>
      </c>
      <c r="P45" s="207"/>
      <c r="Q45" s="201"/>
      <c r="R45" s="201"/>
      <c r="S45" s="208"/>
      <c r="T45" s="201"/>
      <c r="U45" s="15"/>
      <c r="V45" s="89">
        <f t="shared" ref="V45:Y45" si="55">SUM(V44)</f>
        <v>4782492.04</v>
      </c>
      <c r="W45" s="89">
        <f t="shared" si="55"/>
        <v>0</v>
      </c>
      <c r="X45" s="89">
        <f t="shared" si="55"/>
        <v>0</v>
      </c>
      <c r="Y45" s="89">
        <f t="shared" si="55"/>
        <v>0</v>
      </c>
      <c r="Z45" s="89">
        <f>SUM(Z44)</f>
        <v>4782492.04</v>
      </c>
      <c r="AA45" s="89">
        <f t="shared" ref="AA45:AL45" si="56">SUM(AA44)</f>
        <v>0</v>
      </c>
      <c r="AB45" s="89">
        <f t="shared" si="56"/>
        <v>0</v>
      </c>
      <c r="AC45" s="89">
        <f t="shared" si="56"/>
        <v>0</v>
      </c>
      <c r="AD45" s="89">
        <f t="shared" si="56"/>
        <v>0</v>
      </c>
      <c r="AE45" s="89">
        <f t="shared" si="56"/>
        <v>0</v>
      </c>
      <c r="AF45" s="89">
        <f t="shared" si="56"/>
        <v>0</v>
      </c>
      <c r="AG45" s="89">
        <f t="shared" si="56"/>
        <v>4782492.04</v>
      </c>
      <c r="AH45" s="89">
        <f t="shared" si="56"/>
        <v>0</v>
      </c>
      <c r="AI45" s="89">
        <f t="shared" si="56"/>
        <v>0</v>
      </c>
      <c r="AJ45" s="294">
        <f t="shared" ref="AJ45" si="57">SUM(AJ44)</f>
        <v>0</v>
      </c>
      <c r="AK45" s="297"/>
      <c r="AL45" s="260">
        <f t="shared" si="56"/>
        <v>0</v>
      </c>
      <c r="AM45" s="89">
        <f t="shared" ref="AM45:AP45" si="58">SUM(AM44)</f>
        <v>0</v>
      </c>
      <c r="AN45" s="89">
        <f t="shared" si="58"/>
        <v>0</v>
      </c>
      <c r="AO45" s="89">
        <f t="shared" si="58"/>
        <v>4782492.04</v>
      </c>
      <c r="AP45" s="89">
        <f t="shared" si="58"/>
        <v>0</v>
      </c>
      <c r="AR45" s="22"/>
      <c r="AS45" s="22"/>
    </row>
    <row r="46" spans="1:45" s="96" customFormat="1" ht="24" customHeight="1" x14ac:dyDescent="0.55000000000000004">
      <c r="A46" s="90"/>
      <c r="B46" s="91"/>
      <c r="C46" s="91"/>
      <c r="D46" s="91"/>
      <c r="E46" s="91"/>
      <c r="F46" s="91"/>
      <c r="G46" s="91"/>
      <c r="H46" s="18"/>
      <c r="I46" s="171"/>
      <c r="J46" s="209"/>
      <c r="K46" s="195"/>
      <c r="L46" s="143"/>
      <c r="M46" s="240"/>
      <c r="N46" s="143"/>
      <c r="O46" s="240"/>
      <c r="P46" s="143"/>
      <c r="Q46" s="92"/>
      <c r="R46" s="92"/>
      <c r="S46" s="94"/>
      <c r="T46" s="91"/>
      <c r="U46" s="92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R46" s="248"/>
      <c r="AS46" s="18"/>
    </row>
    <row r="47" spans="1:45" s="22" customFormat="1" ht="67.5" customHeight="1" x14ac:dyDescent="0.55000000000000004">
      <c r="A47" s="27"/>
      <c r="B47" s="27"/>
      <c r="C47" s="27"/>
      <c r="D47" s="27"/>
      <c r="E47" s="27"/>
      <c r="F47" s="27"/>
      <c r="G47" s="27"/>
      <c r="H47" s="28"/>
      <c r="I47" s="196"/>
      <c r="J47" s="212">
        <f t="shared" ref="J47" si="59">J45</f>
        <v>0</v>
      </c>
      <c r="K47" s="196"/>
      <c r="L47" s="166">
        <f>L45+L40+L37</f>
        <v>0.5</v>
      </c>
      <c r="M47" s="133">
        <f t="shared" ref="M47:O47" si="60">M45</f>
        <v>2391246.02</v>
      </c>
      <c r="N47" s="166">
        <f>N45+N40+N37</f>
        <v>2.5</v>
      </c>
      <c r="O47" s="133">
        <f t="shared" si="60"/>
        <v>2391246.02</v>
      </c>
      <c r="P47" s="196"/>
      <c r="Q47" s="337" t="s">
        <v>22</v>
      </c>
      <c r="R47" s="338"/>
      <c r="S47" s="338"/>
      <c r="T47" s="338"/>
      <c r="U47" s="183"/>
      <c r="V47" s="133">
        <f t="shared" ref="V47:Y47" si="61">V45</f>
        <v>4782492.04</v>
      </c>
      <c r="W47" s="133">
        <f t="shared" si="61"/>
        <v>0</v>
      </c>
      <c r="X47" s="133">
        <f t="shared" si="61"/>
        <v>0</v>
      </c>
      <c r="Y47" s="133">
        <f t="shared" si="61"/>
        <v>0</v>
      </c>
      <c r="Z47" s="133">
        <f>Z45</f>
        <v>4782492.04</v>
      </c>
      <c r="AA47" s="133">
        <f t="shared" ref="AA47:AL47" si="62">AA45</f>
        <v>0</v>
      </c>
      <c r="AB47" s="133">
        <f t="shared" si="62"/>
        <v>0</v>
      </c>
      <c r="AC47" s="133">
        <f t="shared" si="62"/>
        <v>0</v>
      </c>
      <c r="AD47" s="133">
        <f t="shared" si="62"/>
        <v>0</v>
      </c>
      <c r="AE47" s="133">
        <f t="shared" si="62"/>
        <v>0</v>
      </c>
      <c r="AF47" s="133">
        <f t="shared" si="62"/>
        <v>0</v>
      </c>
      <c r="AG47" s="133">
        <f t="shared" si="62"/>
        <v>4782492.04</v>
      </c>
      <c r="AH47" s="133">
        <f t="shared" si="62"/>
        <v>0</v>
      </c>
      <c r="AI47" s="133">
        <f t="shared" si="62"/>
        <v>0</v>
      </c>
      <c r="AJ47" s="295">
        <f t="shared" ref="AJ47" si="63">AJ45</f>
        <v>0</v>
      </c>
      <c r="AK47" s="32"/>
      <c r="AL47" s="261">
        <f t="shared" si="62"/>
        <v>0</v>
      </c>
      <c r="AM47" s="133">
        <f t="shared" ref="AM47:AP47" si="64">AM45</f>
        <v>0</v>
      </c>
      <c r="AN47" s="133">
        <f t="shared" si="64"/>
        <v>0</v>
      </c>
      <c r="AO47" s="133">
        <f t="shared" si="64"/>
        <v>4782492.04</v>
      </c>
      <c r="AP47" s="133">
        <f t="shared" si="64"/>
        <v>0</v>
      </c>
      <c r="AR47" s="249"/>
      <c r="AS47" s="28"/>
    </row>
    <row r="48" spans="1:45" s="13" customFormat="1" ht="27" customHeight="1" x14ac:dyDescent="0.55000000000000004">
      <c r="A48" s="16"/>
      <c r="B48" s="17"/>
      <c r="C48" s="17"/>
      <c r="D48" s="17"/>
      <c r="E48" s="17"/>
      <c r="F48" s="17"/>
      <c r="G48" s="17"/>
      <c r="H48" s="18"/>
      <c r="I48" s="19"/>
      <c r="J48" s="142"/>
      <c r="K48" s="195"/>
      <c r="L48" s="142"/>
      <c r="M48" s="239"/>
      <c r="N48" s="142"/>
      <c r="O48" s="239"/>
      <c r="P48" s="195"/>
      <c r="Q48" s="18"/>
      <c r="R48" s="18"/>
      <c r="S48" s="62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32"/>
      <c r="AK48" s="32"/>
      <c r="AL48" s="32"/>
      <c r="AM48" s="20"/>
      <c r="AN48" s="20"/>
      <c r="AO48" s="20"/>
      <c r="AP48" s="20"/>
      <c r="AR48" s="249"/>
      <c r="AS48" s="18"/>
    </row>
    <row r="49" spans="1:42" s="85" customFormat="1" ht="43.5" hidden="1" customHeight="1" x14ac:dyDescent="0.2">
      <c r="A49" s="85" t="s">
        <v>69</v>
      </c>
      <c r="B49" s="86"/>
      <c r="C49" s="86"/>
      <c r="D49" s="86"/>
      <c r="E49" s="86"/>
      <c r="F49" s="86"/>
      <c r="G49" s="86"/>
      <c r="H49" s="86"/>
      <c r="L49" s="219"/>
      <c r="N49" s="219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32"/>
      <c r="AK49" s="87"/>
      <c r="AL49" s="32"/>
      <c r="AM49" s="87"/>
      <c r="AN49" s="87"/>
      <c r="AO49" s="87"/>
      <c r="AP49" s="87"/>
    </row>
    <row r="50" spans="1:42" s="22" customFormat="1" ht="42" hidden="1" x14ac:dyDescent="0.55000000000000004">
      <c r="A50" s="73"/>
      <c r="B50" s="73"/>
      <c r="C50" s="74"/>
      <c r="D50" s="74"/>
      <c r="E50" s="74"/>
      <c r="F50" s="74"/>
      <c r="G50" s="74"/>
      <c r="H50" s="228"/>
      <c r="I50" s="229"/>
      <c r="J50" s="73"/>
      <c r="K50" s="186"/>
      <c r="L50" s="214"/>
      <c r="M50" s="206"/>
      <c r="N50" s="214"/>
      <c r="O50" s="206"/>
      <c r="P50" s="186"/>
      <c r="Q50" s="73"/>
      <c r="R50" s="73"/>
      <c r="S50" s="153"/>
      <c r="T50" s="153"/>
      <c r="U50" s="152"/>
      <c r="V50" s="76"/>
      <c r="W50" s="76"/>
      <c r="X50" s="76"/>
      <c r="Y50" s="76"/>
      <c r="Z50" s="76"/>
      <c r="AA50" s="153"/>
      <c r="AB50" s="75"/>
      <c r="AC50" s="75"/>
      <c r="AD50" s="75"/>
      <c r="AE50" s="75"/>
      <c r="AF50" s="75"/>
      <c r="AG50" s="153"/>
      <c r="AH50" s="153"/>
      <c r="AI50" s="153"/>
      <c r="AJ50" s="294"/>
      <c r="AK50" s="32"/>
      <c r="AL50" s="260"/>
      <c r="AM50" s="153"/>
      <c r="AN50" s="153"/>
      <c r="AO50" s="153"/>
      <c r="AP50" s="153"/>
    </row>
    <row r="51" spans="1:42" s="22" customFormat="1" ht="42" hidden="1" x14ac:dyDescent="0.55000000000000004">
      <c r="A51" s="73"/>
      <c r="B51" s="73"/>
      <c r="C51" s="74"/>
      <c r="D51" s="74"/>
      <c r="E51" s="74"/>
      <c r="F51" s="74"/>
      <c r="G51" s="74"/>
      <c r="H51" s="228"/>
      <c r="I51" s="229"/>
      <c r="J51" s="73"/>
      <c r="K51" s="186"/>
      <c r="L51" s="214"/>
      <c r="M51" s="206"/>
      <c r="N51" s="214"/>
      <c r="O51" s="206"/>
      <c r="P51" s="186"/>
      <c r="Q51" s="73"/>
      <c r="R51" s="73"/>
      <c r="S51" s="153"/>
      <c r="T51" s="153"/>
      <c r="U51" s="152"/>
      <c r="V51" s="76"/>
      <c r="W51" s="76"/>
      <c r="X51" s="76"/>
      <c r="Y51" s="76"/>
      <c r="Z51" s="76"/>
      <c r="AA51" s="153"/>
      <c r="AB51" s="75"/>
      <c r="AC51" s="75"/>
      <c r="AD51" s="75"/>
      <c r="AE51" s="75"/>
      <c r="AF51" s="75"/>
      <c r="AG51" s="153"/>
      <c r="AH51" s="153"/>
      <c r="AI51" s="153"/>
      <c r="AJ51" s="91"/>
      <c r="AK51" s="32"/>
      <c r="AL51" s="91"/>
      <c r="AM51" s="153"/>
      <c r="AN51" s="153"/>
      <c r="AO51" s="153"/>
      <c r="AP51" s="153"/>
    </row>
    <row r="52" spans="1:42" s="22" customFormat="1" ht="42" hidden="1" x14ac:dyDescent="0.55000000000000004">
      <c r="A52" s="73"/>
      <c r="B52" s="73"/>
      <c r="C52" s="74"/>
      <c r="D52" s="74"/>
      <c r="E52" s="74"/>
      <c r="F52" s="74"/>
      <c r="G52" s="74"/>
      <c r="H52" s="228"/>
      <c r="I52" s="229"/>
      <c r="J52" s="73"/>
      <c r="K52" s="186"/>
      <c r="L52" s="214"/>
      <c r="M52" s="206"/>
      <c r="N52" s="214"/>
      <c r="O52" s="206"/>
      <c r="P52" s="186"/>
      <c r="Q52" s="73"/>
      <c r="R52" s="73"/>
      <c r="S52" s="153"/>
      <c r="T52" s="153"/>
      <c r="U52" s="152"/>
      <c r="V52" s="76"/>
      <c r="W52" s="76"/>
      <c r="X52" s="76"/>
      <c r="Y52" s="76"/>
      <c r="Z52" s="76"/>
      <c r="AA52" s="153"/>
      <c r="AB52" s="75"/>
      <c r="AC52" s="75"/>
      <c r="AD52" s="75"/>
      <c r="AE52" s="75"/>
      <c r="AF52" s="75"/>
      <c r="AG52" s="153"/>
      <c r="AH52" s="153"/>
      <c r="AI52" s="153"/>
      <c r="AJ52" s="295"/>
      <c r="AK52" s="32"/>
      <c r="AL52" s="261"/>
      <c r="AM52" s="153"/>
      <c r="AN52" s="153"/>
      <c r="AO52" s="153"/>
      <c r="AP52" s="153"/>
    </row>
    <row r="53" spans="1:42" s="22" customFormat="1" ht="63" hidden="1" customHeight="1" x14ac:dyDescent="0.55000000000000004">
      <c r="A53" s="14"/>
      <c r="B53" s="14"/>
      <c r="C53" s="14"/>
      <c r="D53" s="14"/>
      <c r="E53" s="14"/>
      <c r="F53" s="14"/>
      <c r="G53" s="14"/>
      <c r="H53" s="14"/>
      <c r="I53" s="15"/>
      <c r="J53" s="150">
        <f>SUM(J50:J52)</f>
        <v>0</v>
      </c>
      <c r="K53" s="187"/>
      <c r="L53" s="150">
        <f>SUM(L50:L52)</f>
        <v>0</v>
      </c>
      <c r="M53" s="89">
        <f t="shared" ref="M53" si="65">SUM(M50:M52)</f>
        <v>0</v>
      </c>
      <c r="N53" s="150">
        <f>SUM(N50:N52)</f>
        <v>0</v>
      </c>
      <c r="O53" s="89">
        <f t="shared" ref="O53" si="66">SUM(O50:O52)</f>
        <v>0</v>
      </c>
      <c r="P53" s="187"/>
      <c r="Q53" s="15"/>
      <c r="R53" s="15"/>
      <c r="S53" s="14"/>
      <c r="T53" s="15"/>
      <c r="U53" s="15"/>
      <c r="V53" s="89">
        <f t="shared" ref="V53:Y53" si="67">SUM(V50:V52)</f>
        <v>0</v>
      </c>
      <c r="W53" s="89">
        <f t="shared" si="67"/>
        <v>0</v>
      </c>
      <c r="X53" s="89">
        <f t="shared" si="67"/>
        <v>0</v>
      </c>
      <c r="Y53" s="89">
        <f t="shared" si="67"/>
        <v>0</v>
      </c>
      <c r="Z53" s="89">
        <f>SUM(Z50:Z52)</f>
        <v>0</v>
      </c>
      <c r="AA53" s="89">
        <f t="shared" ref="AA53:AH53" si="68">SUM(AA50:AA52)</f>
        <v>0</v>
      </c>
      <c r="AB53" s="89">
        <f t="shared" si="68"/>
        <v>0</v>
      </c>
      <c r="AC53" s="89">
        <f t="shared" si="68"/>
        <v>0</v>
      </c>
      <c r="AD53" s="89">
        <f t="shared" si="68"/>
        <v>0</v>
      </c>
      <c r="AE53" s="89">
        <f t="shared" si="68"/>
        <v>0</v>
      </c>
      <c r="AF53" s="89">
        <f t="shared" si="68"/>
        <v>0</v>
      </c>
      <c r="AG53" s="89">
        <f t="shared" si="68"/>
        <v>0</v>
      </c>
      <c r="AH53" s="89">
        <f t="shared" si="68"/>
        <v>0</v>
      </c>
      <c r="AI53" s="89">
        <f t="shared" ref="AI53:AL53" si="69">SUM(AI50:AI52)</f>
        <v>0</v>
      </c>
      <c r="AJ53" s="294">
        <f t="shared" ref="AJ53" si="70">SUM(AJ50:AJ52)</f>
        <v>0</v>
      </c>
      <c r="AK53" s="156"/>
      <c r="AL53" s="260">
        <f t="shared" si="69"/>
        <v>0</v>
      </c>
      <c r="AM53" s="89">
        <f t="shared" ref="AM53:AP53" si="71">SUM(AM50:AM52)</f>
        <v>0</v>
      </c>
      <c r="AN53" s="89">
        <f t="shared" si="71"/>
        <v>0</v>
      </c>
      <c r="AO53" s="89">
        <f t="shared" si="71"/>
        <v>0</v>
      </c>
      <c r="AP53" s="89">
        <f t="shared" si="71"/>
        <v>0</v>
      </c>
    </row>
    <row r="54" spans="1:42" s="92" customFormat="1" ht="24" hidden="1" customHeight="1" x14ac:dyDescent="0.2">
      <c r="A54" s="90"/>
      <c r="B54" s="91"/>
      <c r="C54" s="91"/>
      <c r="D54" s="91"/>
      <c r="E54" s="91"/>
      <c r="F54" s="91"/>
      <c r="G54" s="91"/>
      <c r="H54" s="91"/>
      <c r="L54" s="217"/>
      <c r="M54" s="91"/>
      <c r="N54" s="217"/>
      <c r="O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2" s="22" customFormat="1" ht="67.5" customHeight="1" x14ac:dyDescent="0.55000000000000004">
      <c r="A55" s="27"/>
      <c r="B55" s="27"/>
      <c r="C55" s="27"/>
      <c r="D55" s="27"/>
      <c r="E55" s="27"/>
      <c r="F55" s="27"/>
      <c r="G55" s="27"/>
      <c r="H55" s="28"/>
      <c r="J55" s="212">
        <f>J47+J40+J33+J14</f>
        <v>1308</v>
      </c>
      <c r="K55" s="204"/>
      <c r="L55" s="212">
        <f>L47+L40+L33+L14</f>
        <v>3</v>
      </c>
      <c r="M55" s="133">
        <f>M47+M40+M33+M14</f>
        <v>3831246.02</v>
      </c>
      <c r="N55" s="212">
        <f>N47+N40+N33+N14</f>
        <v>5</v>
      </c>
      <c r="O55" s="133">
        <f>O47+O40+O33+O14</f>
        <v>4291146.0199999996</v>
      </c>
      <c r="P55" s="205"/>
      <c r="Q55" s="337" t="s">
        <v>31</v>
      </c>
      <c r="R55" s="338"/>
      <c r="S55" s="338"/>
      <c r="T55" s="338"/>
      <c r="U55" s="183"/>
      <c r="V55" s="133">
        <f>V47+V40+V33+V26+V14</f>
        <v>11922392.039999999</v>
      </c>
      <c r="W55" s="133">
        <f t="shared" ref="W55:AI55" si="72">W47+W40+W33+W26+W14</f>
        <v>3800000</v>
      </c>
      <c r="X55" s="133">
        <f t="shared" si="72"/>
        <v>0</v>
      </c>
      <c r="Y55" s="133">
        <f t="shared" si="72"/>
        <v>3968625.76</v>
      </c>
      <c r="Z55" s="133">
        <f t="shared" si="72"/>
        <v>12091017.800000001</v>
      </c>
      <c r="AA55" s="133">
        <f t="shared" si="72"/>
        <v>0</v>
      </c>
      <c r="AB55" s="133">
        <f t="shared" si="72"/>
        <v>904950</v>
      </c>
      <c r="AC55" s="133">
        <f t="shared" si="72"/>
        <v>5186222.0756799988</v>
      </c>
      <c r="AD55" s="133">
        <f t="shared" si="72"/>
        <v>406403.68432000023</v>
      </c>
      <c r="AE55" s="133">
        <f t="shared" si="72"/>
        <v>0</v>
      </c>
      <c r="AF55" s="133">
        <f t="shared" si="72"/>
        <v>135000</v>
      </c>
      <c r="AG55" s="133">
        <f t="shared" si="72"/>
        <v>5082462.04</v>
      </c>
      <c r="AH55" s="133">
        <f t="shared" si="72"/>
        <v>0</v>
      </c>
      <c r="AI55" s="133">
        <f t="shared" si="72"/>
        <v>375980</v>
      </c>
      <c r="AJ55" s="295" t="e">
        <f>AJ40+#REF!+AJ14+#REF!+#REF!</f>
        <v>#REF!</v>
      </c>
      <c r="AK55" s="32"/>
      <c r="AL55" s="261" t="e">
        <f>AL40+#REF!+AL14+#REF!+#REF!</f>
        <v>#REF!</v>
      </c>
      <c r="AM55" s="133">
        <f t="shared" ref="AM55:AP55" si="73">AM47+AM40+AM33+AM14</f>
        <v>0</v>
      </c>
      <c r="AN55" s="133">
        <f t="shared" si="73"/>
        <v>904950</v>
      </c>
      <c r="AO55" s="133">
        <f t="shared" si="73"/>
        <v>7017462.04</v>
      </c>
      <c r="AP55" s="133">
        <f t="shared" si="73"/>
        <v>199980</v>
      </c>
    </row>
    <row r="56" spans="1:42" s="13" customFormat="1" ht="57.75" customHeight="1" x14ac:dyDescent="0.55000000000000004">
      <c r="A56" s="22"/>
      <c r="B56" s="22"/>
      <c r="C56" s="27"/>
      <c r="D56" s="27"/>
      <c r="E56" s="27"/>
      <c r="F56" s="27"/>
      <c r="G56" s="27"/>
      <c r="H56" s="28"/>
      <c r="I56" s="29"/>
      <c r="J56" s="29"/>
      <c r="K56" s="185"/>
      <c r="L56" s="267">
        <f>L55+N55</f>
        <v>8</v>
      </c>
      <c r="M56" s="268">
        <f>M55+O55</f>
        <v>8122392.0399999991</v>
      </c>
      <c r="N56" s="222"/>
      <c r="O56" s="29"/>
      <c r="P56" s="185"/>
      <c r="Q56" s="28"/>
      <c r="R56" s="28"/>
      <c r="S56" s="22"/>
      <c r="T56" s="22"/>
      <c r="U56" s="22"/>
      <c r="V56" s="175"/>
      <c r="W56" s="175"/>
      <c r="X56" s="175"/>
      <c r="Y56" s="175"/>
      <c r="Z56" s="175"/>
      <c r="AA56" s="175"/>
      <c r="AB56" s="175"/>
      <c r="AC56" s="176"/>
      <c r="AD56" s="108"/>
      <c r="AE56" s="108"/>
      <c r="AF56" s="108"/>
      <c r="AG56" s="108"/>
      <c r="AH56" s="108"/>
      <c r="AI56" s="109"/>
      <c r="AJ56" s="32"/>
      <c r="AL56" s="32"/>
      <c r="AN56" s="155"/>
      <c r="AO56" s="155"/>
      <c r="AP56" s="155"/>
    </row>
    <row r="57" spans="1:42" s="26" customFormat="1" ht="57.75" customHeight="1" x14ac:dyDescent="0.6">
      <c r="A57" s="33" t="s">
        <v>32</v>
      </c>
      <c r="B57" s="33"/>
      <c r="C57" s="33"/>
      <c r="D57" s="33"/>
      <c r="E57" s="33"/>
      <c r="F57" s="33"/>
      <c r="G57" s="33"/>
      <c r="H57" s="33"/>
      <c r="I57" s="33"/>
      <c r="J57" s="33"/>
      <c r="K57" s="188"/>
      <c r="L57" s="223"/>
      <c r="M57" s="33"/>
      <c r="N57" s="223"/>
      <c r="O57" s="33"/>
      <c r="P57" s="188"/>
      <c r="Q57" s="33"/>
      <c r="R57" s="34"/>
      <c r="S57" s="35"/>
      <c r="T57" s="35"/>
      <c r="U57" s="35"/>
      <c r="V57" s="130"/>
      <c r="W57" s="130"/>
      <c r="X57" s="130"/>
      <c r="Y57" s="130"/>
      <c r="Z57" s="130"/>
      <c r="AA57" s="36"/>
      <c r="AB57" s="37"/>
      <c r="AC57" s="131"/>
      <c r="AD57" s="38"/>
      <c r="AE57" s="38"/>
      <c r="AF57" s="38"/>
      <c r="AG57" s="38"/>
      <c r="AH57" s="38"/>
      <c r="AI57" s="37"/>
      <c r="AJ57" s="32"/>
      <c r="AK57" s="181"/>
      <c r="AL57" s="32"/>
      <c r="AM57" s="181">
        <f>AM55+AN55+AO55+AP55</f>
        <v>8122392.04</v>
      </c>
      <c r="AN57" s="25"/>
      <c r="AO57" s="25"/>
      <c r="AP57" s="25"/>
    </row>
    <row r="58" spans="1:42" s="13" customFormat="1" ht="141.75" customHeight="1" x14ac:dyDescent="0.55000000000000004">
      <c r="A58" s="370" t="s">
        <v>33</v>
      </c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  <c r="T58" s="32"/>
      <c r="U58" s="32"/>
      <c r="V58" s="122"/>
      <c r="W58" s="122"/>
      <c r="X58" s="122"/>
      <c r="Y58" s="122"/>
      <c r="Z58" s="122"/>
      <c r="AB58" s="123"/>
      <c r="AC58" s="129"/>
      <c r="AD58" s="124"/>
      <c r="AE58" s="137"/>
      <c r="AF58" s="137"/>
      <c r="AG58" s="137"/>
      <c r="AH58" s="137"/>
      <c r="AI58" s="123"/>
      <c r="AJ58" s="32"/>
      <c r="AL58" s="32"/>
      <c r="AN58" s="155"/>
      <c r="AO58" s="155"/>
      <c r="AP58" s="155"/>
    </row>
    <row r="59" spans="1:42" s="44" customFormat="1" ht="42" x14ac:dyDescent="0.45">
      <c r="A59" s="39"/>
      <c r="B59" s="40"/>
      <c r="C59" s="40"/>
      <c r="D59" s="40"/>
      <c r="E59" s="40"/>
      <c r="F59" s="40"/>
      <c r="G59" s="40"/>
      <c r="H59" s="41"/>
      <c r="I59" s="42"/>
      <c r="J59" s="42"/>
      <c r="K59" s="189"/>
      <c r="L59" s="224"/>
      <c r="M59" s="42"/>
      <c r="N59" s="224"/>
      <c r="O59" s="42"/>
      <c r="P59" s="189"/>
      <c r="Q59" s="41"/>
      <c r="R59" s="41"/>
      <c r="S59" s="43"/>
      <c r="T59" s="43"/>
      <c r="U59" s="43"/>
      <c r="V59" s="177"/>
      <c r="W59" s="177"/>
      <c r="X59" s="177"/>
      <c r="Y59" s="177"/>
      <c r="Z59" s="177"/>
      <c r="AA59" s="178"/>
      <c r="AB59" s="178"/>
      <c r="AC59" s="178"/>
      <c r="AD59" s="178"/>
      <c r="AE59" s="178"/>
      <c r="AF59" s="178"/>
      <c r="AG59" s="178"/>
      <c r="AH59" s="178"/>
      <c r="AI59" s="178"/>
      <c r="AJ59" s="156" t="e">
        <f t="shared" ref="AJ59:AL59" si="74">SUM(AJ55:AJ58)</f>
        <v>#REF!</v>
      </c>
      <c r="AK59" s="13"/>
      <c r="AL59" s="156" t="e">
        <f t="shared" si="74"/>
        <v>#REF!</v>
      </c>
      <c r="AM59" s="13"/>
      <c r="AN59" s="45"/>
      <c r="AO59" s="45"/>
      <c r="AP59" s="45"/>
    </row>
    <row r="60" spans="1:42" s="44" customFormat="1" ht="42" x14ac:dyDescent="0.45">
      <c r="A60" s="39"/>
      <c r="B60" s="40"/>
      <c r="C60" s="40"/>
      <c r="D60" s="40"/>
      <c r="E60" s="40"/>
      <c r="F60" s="40"/>
      <c r="G60" s="40"/>
      <c r="H60" s="41"/>
      <c r="I60" s="42"/>
      <c r="J60" s="42"/>
      <c r="K60" s="189"/>
      <c r="L60" s="224"/>
      <c r="M60" s="42"/>
      <c r="N60" s="224"/>
      <c r="O60" s="42"/>
      <c r="P60" s="189"/>
      <c r="Q60" s="41"/>
      <c r="R60" s="41"/>
      <c r="S60" s="43"/>
      <c r="T60" s="43"/>
      <c r="U60" s="43"/>
      <c r="V60" s="177"/>
      <c r="W60" s="177"/>
      <c r="X60" s="177"/>
      <c r="Y60" s="177"/>
      <c r="Z60" s="177"/>
      <c r="AA60" s="178"/>
      <c r="AB60" s="178"/>
      <c r="AC60" s="178"/>
      <c r="AD60" s="178"/>
      <c r="AE60" s="178"/>
      <c r="AF60" s="178"/>
      <c r="AG60" s="178"/>
      <c r="AH60" s="178"/>
      <c r="AI60" s="178"/>
      <c r="AJ60" s="93"/>
      <c r="AK60" s="13"/>
      <c r="AL60" s="93"/>
      <c r="AM60" s="13"/>
      <c r="AN60" s="45"/>
      <c r="AO60" s="45"/>
      <c r="AP60" s="45"/>
    </row>
    <row r="61" spans="1:42" s="44" customFormat="1" ht="42" x14ac:dyDescent="0.45">
      <c r="A61" s="39"/>
      <c r="B61" s="40"/>
      <c r="C61" s="40"/>
      <c r="D61" s="40"/>
      <c r="E61" s="40"/>
      <c r="F61" s="40"/>
      <c r="G61" s="40"/>
      <c r="H61" s="41"/>
      <c r="I61" s="42"/>
      <c r="J61" s="42"/>
      <c r="K61" s="189"/>
      <c r="L61" s="224"/>
      <c r="M61" s="42"/>
      <c r="N61" s="224"/>
      <c r="O61" s="42"/>
      <c r="P61" s="189"/>
      <c r="Q61" s="41"/>
      <c r="R61" s="41"/>
      <c r="S61" s="43"/>
      <c r="T61" s="43"/>
      <c r="U61" s="43"/>
      <c r="V61" s="177"/>
      <c r="W61" s="177"/>
      <c r="X61" s="177"/>
      <c r="Y61" s="177"/>
      <c r="Z61" s="177"/>
      <c r="AA61" s="178"/>
      <c r="AB61" s="178"/>
      <c r="AC61" s="178"/>
      <c r="AD61" s="178"/>
      <c r="AE61" s="178"/>
      <c r="AF61" s="178"/>
      <c r="AG61" s="178"/>
      <c r="AH61" s="178"/>
      <c r="AI61" s="178"/>
      <c r="AJ61" s="32" t="e">
        <f>AJ59+AJ40</f>
        <v>#REF!</v>
      </c>
      <c r="AK61" s="13"/>
      <c r="AL61" s="32" t="e">
        <f>AL59+AL40</f>
        <v>#REF!</v>
      </c>
      <c r="AM61" s="13"/>
      <c r="AN61" s="45"/>
      <c r="AO61" s="45"/>
      <c r="AP61" s="45"/>
    </row>
    <row r="62" spans="1:42" s="44" customFormat="1" ht="409.5" x14ac:dyDescent="0.55000000000000004">
      <c r="A62" s="39"/>
      <c r="B62" s="40"/>
      <c r="C62" s="40"/>
      <c r="J62" s="232">
        <v>807</v>
      </c>
      <c r="K62" s="233" t="s">
        <v>68</v>
      </c>
      <c r="O62" s="42"/>
      <c r="P62" s="189"/>
      <c r="Q62" s="41"/>
      <c r="R62" s="41"/>
      <c r="S62" s="43"/>
      <c r="T62" s="43"/>
      <c r="U62" s="43"/>
      <c r="V62" s="177"/>
      <c r="W62" s="177"/>
      <c r="X62" s="177"/>
      <c r="Y62" s="177"/>
      <c r="Z62" s="177"/>
      <c r="AA62" s="178"/>
      <c r="AB62" s="178"/>
      <c r="AC62" s="178"/>
      <c r="AD62" s="178"/>
      <c r="AE62" s="178"/>
      <c r="AF62" s="178"/>
      <c r="AG62" s="178"/>
      <c r="AH62" s="178"/>
      <c r="AI62" s="178"/>
      <c r="AJ62" s="32"/>
      <c r="AK62" s="13"/>
      <c r="AL62" s="32"/>
      <c r="AM62" s="13"/>
      <c r="AN62" s="45"/>
      <c r="AO62" s="45"/>
      <c r="AP62" s="45"/>
    </row>
    <row r="63" spans="1:42" s="44" customFormat="1" ht="409.5" x14ac:dyDescent="0.55000000000000004">
      <c r="A63" s="39"/>
      <c r="B63" s="40"/>
      <c r="C63" s="40"/>
      <c r="J63" s="232">
        <v>1823</v>
      </c>
      <c r="K63" s="233" t="s">
        <v>68</v>
      </c>
      <c r="O63" s="42"/>
      <c r="P63" s="189"/>
      <c r="Q63" s="41"/>
      <c r="R63" s="41"/>
      <c r="S63" s="43"/>
      <c r="T63" s="43"/>
      <c r="U63" s="43"/>
      <c r="V63" s="177"/>
      <c r="W63" s="177"/>
      <c r="X63" s="177"/>
      <c r="Y63" s="177"/>
      <c r="Z63" s="177"/>
      <c r="AA63" s="178"/>
      <c r="AB63" s="178"/>
      <c r="AC63" s="178"/>
      <c r="AD63" s="178"/>
      <c r="AE63" s="178"/>
      <c r="AF63" s="178"/>
      <c r="AG63" s="178"/>
      <c r="AH63" s="178"/>
      <c r="AI63" s="178"/>
      <c r="AJ63" s="32"/>
      <c r="AK63" s="13"/>
      <c r="AL63" s="32"/>
      <c r="AM63" s="13"/>
      <c r="AN63" s="45"/>
      <c r="AO63" s="45"/>
      <c r="AP63" s="45"/>
    </row>
    <row r="64" spans="1:42" s="44" customFormat="1" ht="409.5" x14ac:dyDescent="0.55000000000000004">
      <c r="A64" s="39"/>
      <c r="B64" s="40"/>
      <c r="C64" s="40"/>
      <c r="J64" s="232">
        <v>1073</v>
      </c>
      <c r="K64" s="233" t="s">
        <v>68</v>
      </c>
      <c r="O64" s="42"/>
      <c r="P64" s="189"/>
      <c r="Q64" s="41"/>
      <c r="R64" s="41"/>
      <c r="S64" s="43"/>
      <c r="T64" s="43"/>
      <c r="U64" s="43"/>
      <c r="V64" s="177"/>
      <c r="W64" s="177"/>
      <c r="X64" s="177"/>
      <c r="Y64" s="177"/>
      <c r="Z64" s="177"/>
      <c r="AA64" s="178"/>
      <c r="AB64" s="178"/>
      <c r="AC64" s="178"/>
      <c r="AD64" s="178"/>
      <c r="AE64" s="178"/>
      <c r="AF64" s="178"/>
      <c r="AG64" s="178"/>
      <c r="AH64" s="178"/>
      <c r="AI64" s="178"/>
      <c r="AJ64" s="60"/>
      <c r="AK64" s="13"/>
      <c r="AL64" s="60"/>
      <c r="AM64" s="13"/>
      <c r="AN64" s="45"/>
      <c r="AO64" s="45"/>
      <c r="AP64" s="45"/>
    </row>
    <row r="65" spans="1:42" s="44" customFormat="1" ht="47.25" x14ac:dyDescent="0.45">
      <c r="A65" s="39"/>
      <c r="B65" s="40"/>
      <c r="C65" s="40"/>
      <c r="D65" s="40"/>
      <c r="E65" s="40"/>
      <c r="F65" s="40"/>
      <c r="G65" s="40"/>
      <c r="H65" s="41"/>
      <c r="I65" s="42"/>
      <c r="J65" s="42"/>
      <c r="K65" s="189"/>
      <c r="O65" s="42"/>
      <c r="P65" s="189"/>
      <c r="Q65" s="41"/>
      <c r="R65" s="41"/>
      <c r="S65" s="43"/>
      <c r="T65" s="43"/>
      <c r="U65" s="43"/>
      <c r="V65" s="177"/>
      <c r="W65" s="177"/>
      <c r="X65" s="177"/>
      <c r="Y65" s="177"/>
      <c r="Z65" s="177"/>
      <c r="AA65" s="178"/>
      <c r="AB65" s="178"/>
      <c r="AC65" s="178"/>
      <c r="AD65" s="178"/>
      <c r="AE65" s="178"/>
      <c r="AF65" s="178"/>
      <c r="AG65" s="178"/>
      <c r="AH65" s="178"/>
      <c r="AI65" s="178"/>
      <c r="AJ65" s="100"/>
      <c r="AK65" s="13"/>
      <c r="AL65" s="100"/>
      <c r="AM65" s="13"/>
      <c r="AN65" s="45"/>
      <c r="AO65" s="45"/>
      <c r="AP65" s="45"/>
    </row>
    <row r="66" spans="1:42" s="44" customFormat="1" ht="42" x14ac:dyDescent="0.45">
      <c r="A66" s="39"/>
      <c r="B66" s="40"/>
      <c r="C66" s="40"/>
      <c r="D66" s="40"/>
      <c r="E66" s="40"/>
      <c r="F66" s="40"/>
      <c r="G66" s="40"/>
      <c r="H66" s="41"/>
      <c r="I66" s="42"/>
      <c r="J66" s="42"/>
      <c r="K66" s="189"/>
      <c r="L66" s="224"/>
      <c r="M66" s="42"/>
      <c r="N66" s="224"/>
      <c r="O66" s="42"/>
      <c r="P66" s="189"/>
      <c r="Q66" s="41"/>
      <c r="R66" s="41"/>
      <c r="S66" s="43"/>
      <c r="T66" s="43"/>
      <c r="U66" s="43"/>
      <c r="V66" s="177"/>
      <c r="W66" s="177"/>
      <c r="X66" s="177"/>
      <c r="Y66" s="177"/>
      <c r="Z66" s="177"/>
      <c r="AA66" s="178"/>
      <c r="AB66" s="178"/>
      <c r="AC66" s="178"/>
      <c r="AD66" s="178"/>
      <c r="AE66" s="178"/>
      <c r="AF66" s="178"/>
      <c r="AG66" s="178"/>
      <c r="AH66" s="178"/>
      <c r="AI66" s="178"/>
      <c r="AJ66" s="32"/>
      <c r="AK66" s="13"/>
      <c r="AL66" s="32"/>
      <c r="AM66" s="13"/>
      <c r="AN66" s="45"/>
      <c r="AO66" s="45"/>
      <c r="AP66" s="45"/>
    </row>
    <row r="67" spans="1:42" s="44" customFormat="1" ht="42" x14ac:dyDescent="0.45">
      <c r="A67" s="39"/>
      <c r="B67" s="40"/>
      <c r="C67" s="40"/>
      <c r="D67" s="40"/>
      <c r="E67" s="40"/>
      <c r="F67" s="40"/>
      <c r="G67" s="40"/>
      <c r="H67" s="41"/>
      <c r="I67" s="42"/>
      <c r="J67" s="42"/>
      <c r="K67" s="189"/>
      <c r="L67" s="224"/>
      <c r="M67" s="42"/>
      <c r="N67" s="224"/>
      <c r="O67" s="42"/>
      <c r="P67" s="189"/>
      <c r="Q67" s="41"/>
      <c r="R67" s="41"/>
      <c r="S67" s="43"/>
      <c r="T67" s="43"/>
      <c r="U67" s="43"/>
      <c r="V67" s="177"/>
      <c r="W67" s="177"/>
      <c r="X67" s="177"/>
      <c r="Y67" s="177"/>
      <c r="Z67" s="177"/>
      <c r="AA67" s="178"/>
      <c r="AB67" s="178"/>
      <c r="AC67" s="178"/>
      <c r="AD67" s="178"/>
      <c r="AE67" s="178"/>
      <c r="AF67" s="178"/>
      <c r="AG67" s="178"/>
      <c r="AH67" s="178"/>
      <c r="AI67" s="178"/>
      <c r="AJ67" s="32"/>
      <c r="AK67" s="13"/>
      <c r="AL67" s="32"/>
      <c r="AM67" s="13"/>
      <c r="AN67" s="45"/>
      <c r="AO67" s="45"/>
      <c r="AP67" s="45"/>
    </row>
    <row r="68" spans="1:42" s="44" customFormat="1" ht="42" x14ac:dyDescent="0.45">
      <c r="A68" s="39"/>
      <c r="B68" s="40"/>
      <c r="C68" s="40"/>
      <c r="D68" s="40"/>
      <c r="E68" s="40"/>
      <c r="F68" s="40"/>
      <c r="G68" s="40"/>
      <c r="H68" s="41"/>
      <c r="I68" s="42"/>
      <c r="J68" s="42"/>
      <c r="K68" s="189"/>
      <c r="L68" s="224"/>
      <c r="M68" s="42"/>
      <c r="N68" s="224"/>
      <c r="O68" s="42"/>
      <c r="P68" s="189"/>
      <c r="Q68" s="41"/>
      <c r="R68" s="41"/>
      <c r="S68" s="43"/>
      <c r="T68" s="43"/>
      <c r="U68" s="43"/>
      <c r="V68" s="177"/>
      <c r="W68" s="177"/>
      <c r="X68" s="177"/>
      <c r="Y68" s="177"/>
      <c r="Z68" s="177"/>
      <c r="AA68" s="178"/>
      <c r="AB68" s="178"/>
      <c r="AC68" s="178"/>
      <c r="AD68" s="178"/>
      <c r="AE68" s="178"/>
      <c r="AF68" s="178"/>
      <c r="AG68" s="178"/>
      <c r="AH68" s="178"/>
      <c r="AI68" s="178"/>
      <c r="AJ68" s="156">
        <f t="shared" ref="AJ68:AL68" si="75">SUM(AJ66:AJ67)</f>
        <v>0</v>
      </c>
      <c r="AK68" s="13"/>
      <c r="AL68" s="156">
        <f t="shared" si="75"/>
        <v>0</v>
      </c>
      <c r="AM68" s="13"/>
      <c r="AN68" s="45"/>
      <c r="AO68" s="45"/>
      <c r="AP68" s="45"/>
    </row>
    <row r="69" spans="1:42" s="44" customFormat="1" ht="42" x14ac:dyDescent="0.45">
      <c r="A69" s="39"/>
      <c r="B69" s="40"/>
      <c r="C69" s="40"/>
      <c r="D69" s="40"/>
      <c r="E69" s="40"/>
      <c r="F69" s="40"/>
      <c r="G69" s="40"/>
      <c r="H69" s="41"/>
      <c r="I69" s="42"/>
      <c r="J69" s="42"/>
      <c r="K69" s="189"/>
      <c r="L69" s="224"/>
      <c r="M69" s="42"/>
      <c r="N69" s="224"/>
      <c r="O69" s="42"/>
      <c r="P69" s="189"/>
      <c r="Q69" s="41"/>
      <c r="R69" s="41"/>
      <c r="S69" s="43"/>
      <c r="T69" s="43"/>
      <c r="U69" s="43"/>
      <c r="V69" s="177"/>
      <c r="W69" s="177"/>
      <c r="X69" s="177"/>
      <c r="Y69" s="177"/>
      <c r="Z69" s="177"/>
      <c r="AA69" s="178"/>
      <c r="AB69" s="178"/>
      <c r="AC69" s="178"/>
      <c r="AD69" s="178"/>
      <c r="AE69" s="178"/>
      <c r="AF69" s="178"/>
      <c r="AG69" s="178"/>
      <c r="AH69" s="178"/>
      <c r="AI69" s="178"/>
      <c r="AJ69" s="93"/>
      <c r="AK69" s="13"/>
      <c r="AL69" s="93"/>
      <c r="AM69" s="13"/>
      <c r="AN69" s="45"/>
      <c r="AO69" s="45"/>
      <c r="AP69" s="45"/>
    </row>
    <row r="70" spans="1:42" s="44" customFormat="1" ht="42" x14ac:dyDescent="0.45">
      <c r="A70" s="39"/>
      <c r="B70" s="40"/>
      <c r="C70" s="40"/>
      <c r="D70" s="40"/>
      <c r="E70" s="40"/>
      <c r="F70" s="40"/>
      <c r="G70" s="40"/>
      <c r="H70" s="41"/>
      <c r="I70" s="42"/>
      <c r="J70" s="42"/>
      <c r="K70" s="189"/>
      <c r="L70" s="224"/>
      <c r="M70" s="42"/>
      <c r="N70" s="224"/>
      <c r="O70" s="42"/>
      <c r="P70" s="189"/>
      <c r="Q70" s="41"/>
      <c r="R70" s="41"/>
      <c r="S70" s="43"/>
      <c r="T70" s="43"/>
      <c r="U70" s="43"/>
      <c r="V70" s="177"/>
      <c r="W70" s="177"/>
      <c r="X70" s="177"/>
      <c r="Y70" s="177"/>
      <c r="Z70" s="177"/>
      <c r="AA70" s="178"/>
      <c r="AB70" s="178"/>
      <c r="AC70" s="178"/>
      <c r="AD70" s="178"/>
      <c r="AE70" s="178"/>
      <c r="AF70" s="178"/>
      <c r="AG70" s="178"/>
      <c r="AH70" s="178"/>
      <c r="AI70" s="178"/>
      <c r="AJ70" s="32">
        <f t="shared" ref="AJ70:AL70" si="76">AJ68</f>
        <v>0</v>
      </c>
      <c r="AK70" s="13"/>
      <c r="AL70" s="32">
        <f t="shared" si="76"/>
        <v>0</v>
      </c>
      <c r="AM70" s="13"/>
      <c r="AN70" s="45"/>
      <c r="AO70" s="45"/>
      <c r="AP70" s="45"/>
    </row>
    <row r="71" spans="1:42" s="44" customFormat="1" ht="42" x14ac:dyDescent="0.45">
      <c r="A71" s="39"/>
      <c r="B71" s="40"/>
      <c r="C71" s="40"/>
      <c r="D71" s="40"/>
      <c r="E71" s="40"/>
      <c r="F71" s="40"/>
      <c r="G71" s="40"/>
      <c r="H71" s="41"/>
      <c r="I71" s="42"/>
      <c r="J71" s="42"/>
      <c r="K71" s="189"/>
      <c r="L71" s="224"/>
      <c r="M71" s="42"/>
      <c r="N71" s="224"/>
      <c r="O71" s="42"/>
      <c r="P71" s="189"/>
      <c r="Q71" s="41"/>
      <c r="R71" s="41"/>
      <c r="S71" s="43"/>
      <c r="T71" s="43"/>
      <c r="U71" s="43"/>
      <c r="V71" s="177"/>
      <c r="W71" s="177"/>
      <c r="X71" s="177"/>
      <c r="Y71" s="177"/>
      <c r="Z71" s="177"/>
      <c r="AA71" s="178"/>
      <c r="AB71" s="178"/>
      <c r="AC71" s="178"/>
      <c r="AD71" s="178"/>
      <c r="AE71" s="178"/>
      <c r="AF71" s="178"/>
      <c r="AG71" s="178"/>
      <c r="AH71" s="178"/>
      <c r="AI71" s="178"/>
      <c r="AJ71" s="32"/>
      <c r="AK71" s="13"/>
      <c r="AL71" s="32"/>
      <c r="AM71" s="13"/>
      <c r="AN71" s="45"/>
      <c r="AO71" s="45"/>
      <c r="AP71" s="45"/>
    </row>
    <row r="72" spans="1:42" s="44" customFormat="1" ht="42" x14ac:dyDescent="0.45">
      <c r="A72" s="39"/>
      <c r="B72" s="40"/>
      <c r="C72" s="40"/>
      <c r="D72" s="40"/>
      <c r="E72" s="40"/>
      <c r="F72" s="40"/>
      <c r="G72" s="40"/>
      <c r="H72" s="41"/>
      <c r="I72" s="42"/>
      <c r="J72" s="42"/>
      <c r="K72" s="189"/>
      <c r="L72" s="224"/>
      <c r="M72" s="42"/>
      <c r="N72" s="224"/>
      <c r="O72" s="42"/>
      <c r="P72" s="189"/>
      <c r="Q72" s="41"/>
      <c r="R72" s="41"/>
      <c r="S72" s="43"/>
      <c r="T72" s="43"/>
      <c r="U72" s="43"/>
      <c r="V72" s="177"/>
      <c r="W72" s="177"/>
      <c r="X72" s="177"/>
      <c r="Y72" s="177"/>
      <c r="Z72" s="177"/>
      <c r="AA72" s="178"/>
      <c r="AB72" s="178"/>
      <c r="AC72" s="178"/>
      <c r="AD72" s="178"/>
      <c r="AE72" s="178"/>
      <c r="AF72" s="178"/>
      <c r="AG72" s="178"/>
      <c r="AH72" s="178"/>
      <c r="AI72" s="178"/>
      <c r="AJ72" s="32"/>
      <c r="AK72" s="13"/>
      <c r="AL72" s="32"/>
      <c r="AM72" s="13"/>
      <c r="AN72" s="45"/>
      <c r="AO72" s="45"/>
      <c r="AP72" s="45"/>
    </row>
    <row r="73" spans="1:42" s="44" customFormat="1" ht="47.25" x14ac:dyDescent="0.45">
      <c r="A73" s="39"/>
      <c r="B73" s="40"/>
      <c r="C73" s="40"/>
      <c r="D73" s="40"/>
      <c r="E73" s="40"/>
      <c r="F73" s="40"/>
      <c r="G73" s="40"/>
      <c r="H73" s="41"/>
      <c r="I73" s="42"/>
      <c r="J73" s="42"/>
      <c r="K73" s="189"/>
      <c r="L73" s="224"/>
      <c r="M73" s="42"/>
      <c r="N73" s="224"/>
      <c r="O73" s="42"/>
      <c r="P73" s="189"/>
      <c r="Q73" s="41"/>
      <c r="R73" s="41"/>
      <c r="S73" s="43"/>
      <c r="T73" s="43"/>
      <c r="U73" s="43"/>
      <c r="V73" s="177"/>
      <c r="W73" s="177"/>
      <c r="X73" s="177"/>
      <c r="Y73" s="177"/>
      <c r="Z73" s="177"/>
      <c r="AA73" s="178"/>
      <c r="AB73" s="178"/>
      <c r="AC73" s="178"/>
      <c r="AD73" s="178"/>
      <c r="AE73" s="178"/>
      <c r="AF73" s="178"/>
      <c r="AG73" s="178"/>
      <c r="AH73" s="178"/>
      <c r="AI73" s="178"/>
      <c r="AJ73" s="60"/>
      <c r="AK73" s="13"/>
      <c r="AL73" s="60"/>
      <c r="AM73" s="13"/>
      <c r="AN73" s="45"/>
      <c r="AO73" s="45"/>
      <c r="AP73" s="45"/>
    </row>
    <row r="74" spans="1:42" s="44" customFormat="1" ht="42" x14ac:dyDescent="0.45">
      <c r="A74" s="39"/>
      <c r="B74" s="40"/>
      <c r="C74" s="40"/>
      <c r="D74" s="40"/>
      <c r="E74" s="40"/>
      <c r="F74" s="40"/>
      <c r="G74" s="40"/>
      <c r="H74" s="41"/>
      <c r="I74" s="42"/>
      <c r="J74" s="42"/>
      <c r="K74" s="189"/>
      <c r="L74" s="224"/>
      <c r="M74" s="42"/>
      <c r="N74" s="224"/>
      <c r="O74" s="42"/>
      <c r="P74" s="189"/>
      <c r="Q74" s="41"/>
      <c r="R74" s="41"/>
      <c r="S74" s="43"/>
      <c r="T74" s="43"/>
      <c r="U74" s="43"/>
      <c r="V74" s="177"/>
      <c r="W74" s="177"/>
      <c r="X74" s="177"/>
      <c r="Y74" s="177"/>
      <c r="Z74" s="177"/>
      <c r="AA74" s="178"/>
      <c r="AB74" s="178"/>
      <c r="AC74" s="178"/>
      <c r="AD74" s="178"/>
      <c r="AE74" s="178"/>
      <c r="AF74" s="178"/>
      <c r="AG74" s="178"/>
      <c r="AH74" s="178"/>
      <c r="AI74" s="178"/>
      <c r="AJ74" s="32"/>
      <c r="AK74" s="13"/>
      <c r="AL74" s="32"/>
      <c r="AM74" s="13"/>
      <c r="AN74" s="45"/>
      <c r="AO74" s="45"/>
      <c r="AP74" s="45"/>
    </row>
    <row r="75" spans="1:42" s="44" customFormat="1" ht="42" x14ac:dyDescent="0.45">
      <c r="A75" s="39"/>
      <c r="B75" s="40"/>
      <c r="C75" s="40"/>
      <c r="D75" s="40"/>
      <c r="E75" s="40"/>
      <c r="F75" s="40"/>
      <c r="G75" s="40"/>
      <c r="H75" s="41"/>
      <c r="I75" s="42"/>
      <c r="J75" s="42"/>
      <c r="K75" s="189"/>
      <c r="L75" s="224"/>
      <c r="M75" s="42"/>
      <c r="N75" s="224"/>
      <c r="O75" s="42"/>
      <c r="P75" s="189"/>
      <c r="Q75" s="41"/>
      <c r="R75" s="41"/>
      <c r="V75" s="177"/>
      <c r="W75" s="177"/>
      <c r="X75" s="177"/>
      <c r="Y75" s="177"/>
      <c r="Z75" s="177"/>
      <c r="AA75" s="178"/>
      <c r="AB75" s="178"/>
      <c r="AC75" s="178"/>
      <c r="AD75" s="178"/>
      <c r="AE75" s="178"/>
      <c r="AF75" s="178"/>
      <c r="AG75" s="178"/>
      <c r="AH75" s="178"/>
      <c r="AI75" s="178"/>
      <c r="AJ75" s="156">
        <f>SUM(AJ74:AJ74)</f>
        <v>0</v>
      </c>
      <c r="AK75" s="13"/>
      <c r="AL75" s="156">
        <f>SUM(AL74:AL74)</f>
        <v>0</v>
      </c>
      <c r="AM75" s="13"/>
      <c r="AN75" s="45"/>
      <c r="AO75" s="45"/>
      <c r="AP75" s="45"/>
    </row>
    <row r="76" spans="1:42" s="44" customFormat="1" ht="42" x14ac:dyDescent="0.45">
      <c r="A76" s="39"/>
      <c r="B76" s="40"/>
      <c r="C76" s="40"/>
      <c r="D76" s="40"/>
      <c r="E76" s="40"/>
      <c r="F76" s="40"/>
      <c r="G76" s="40"/>
      <c r="H76" s="41"/>
      <c r="I76" s="42"/>
      <c r="J76" s="42"/>
      <c r="K76" s="189"/>
      <c r="L76" s="224"/>
      <c r="M76" s="42"/>
      <c r="N76" s="224"/>
      <c r="O76" s="42"/>
      <c r="P76" s="189"/>
      <c r="Q76" s="41"/>
      <c r="R76" s="41"/>
      <c r="S76" s="46"/>
      <c r="T76" s="46"/>
      <c r="U76" s="46"/>
      <c r="V76" s="177"/>
      <c r="W76" s="177"/>
      <c r="X76" s="177"/>
      <c r="Y76" s="177"/>
      <c r="Z76" s="177"/>
      <c r="AA76" s="178"/>
      <c r="AB76" s="178"/>
      <c r="AC76" s="178"/>
      <c r="AD76" s="178"/>
      <c r="AE76" s="178"/>
      <c r="AF76" s="178"/>
      <c r="AG76" s="178"/>
      <c r="AH76" s="178"/>
      <c r="AI76" s="178"/>
      <c r="AJ76" s="91"/>
      <c r="AK76" s="13"/>
      <c r="AL76" s="91"/>
      <c r="AM76" s="13"/>
      <c r="AN76" s="45"/>
      <c r="AO76" s="45"/>
      <c r="AP76" s="45"/>
    </row>
    <row r="77" spans="1:42" ht="42" x14ac:dyDescent="0.45">
      <c r="S77" s="51"/>
      <c r="T77" s="51"/>
      <c r="U77" s="51"/>
      <c r="V77" s="179"/>
      <c r="W77" s="179"/>
      <c r="X77" s="179"/>
      <c r="Y77" s="179"/>
      <c r="Z77" s="179"/>
      <c r="AA77" s="180"/>
      <c r="AB77" s="180"/>
      <c r="AC77" s="180"/>
      <c r="AD77" s="180"/>
      <c r="AE77" s="180"/>
      <c r="AF77" s="180"/>
      <c r="AG77" s="180"/>
      <c r="AH77" s="180"/>
      <c r="AI77" s="180"/>
      <c r="AJ77" s="32">
        <f t="shared" ref="AJ77:AL77" si="77">AJ75</f>
        <v>0</v>
      </c>
      <c r="AL77" s="32">
        <f t="shared" si="77"/>
        <v>0</v>
      </c>
    </row>
    <row r="78" spans="1:42" ht="42" x14ac:dyDescent="0.45">
      <c r="S78" s="51"/>
      <c r="T78" s="51"/>
      <c r="U78" s="51"/>
      <c r="V78" s="179"/>
      <c r="W78" s="179"/>
      <c r="X78" s="179"/>
      <c r="Y78" s="179"/>
      <c r="Z78" s="179"/>
      <c r="AA78" s="180"/>
      <c r="AB78" s="180"/>
      <c r="AC78" s="180"/>
      <c r="AD78" s="180"/>
      <c r="AE78" s="180"/>
      <c r="AF78" s="180"/>
      <c r="AG78" s="180"/>
      <c r="AH78" s="180"/>
      <c r="AI78" s="180"/>
      <c r="AJ78" s="32"/>
      <c r="AL78" s="32"/>
    </row>
    <row r="79" spans="1:42" ht="42" x14ac:dyDescent="0.45">
      <c r="S79" s="54"/>
      <c r="T79" s="54"/>
      <c r="U79" s="54"/>
      <c r="V79" s="179"/>
      <c r="W79" s="179"/>
      <c r="X79" s="179"/>
      <c r="Y79" s="179"/>
      <c r="Z79" s="179"/>
      <c r="AA79" s="180"/>
      <c r="AB79" s="180"/>
      <c r="AC79" s="180"/>
      <c r="AD79" s="180"/>
      <c r="AE79" s="180"/>
      <c r="AF79" s="180"/>
      <c r="AG79" s="180"/>
      <c r="AH79" s="180"/>
      <c r="AI79" s="180"/>
      <c r="AJ79" s="32"/>
      <c r="AL79" s="32"/>
    </row>
    <row r="80" spans="1:42" ht="47.25" x14ac:dyDescent="0.45">
      <c r="V80" s="179"/>
      <c r="W80" s="179"/>
      <c r="X80" s="179"/>
      <c r="Y80" s="179"/>
      <c r="Z80" s="179"/>
      <c r="AA80" s="180"/>
      <c r="AB80" s="180"/>
      <c r="AC80" s="180"/>
      <c r="AD80" s="180"/>
      <c r="AE80" s="180"/>
      <c r="AF80" s="180"/>
      <c r="AG80" s="180"/>
      <c r="AH80" s="180"/>
      <c r="AI80" s="180"/>
      <c r="AJ80" s="60"/>
      <c r="AL80" s="60"/>
    </row>
    <row r="81" spans="1:42" x14ac:dyDescent="0.45">
      <c r="S81" s="51"/>
      <c r="T81" s="51"/>
      <c r="U81" s="51"/>
      <c r="V81" s="179"/>
      <c r="W81" s="179"/>
      <c r="X81" s="179"/>
      <c r="Y81" s="179"/>
      <c r="Z81" s="179"/>
      <c r="AA81" s="180"/>
      <c r="AB81" s="180"/>
      <c r="AC81" s="180"/>
      <c r="AD81" s="180"/>
      <c r="AE81" s="180"/>
      <c r="AF81" s="180"/>
      <c r="AG81" s="180"/>
      <c r="AH81" s="180"/>
      <c r="AI81" s="180"/>
    </row>
    <row r="82" spans="1:42" s="56" customFormat="1" ht="42" x14ac:dyDescent="0.45">
      <c r="A82" s="47"/>
      <c r="B82" s="48"/>
      <c r="C82" s="48"/>
      <c r="D82" s="48"/>
      <c r="E82" s="48"/>
      <c r="F82" s="48"/>
      <c r="G82" s="48"/>
      <c r="H82" s="49"/>
      <c r="I82" s="50"/>
      <c r="J82" s="50"/>
      <c r="K82" s="190"/>
      <c r="L82" s="225"/>
      <c r="M82" s="50"/>
      <c r="N82" s="225"/>
      <c r="O82" s="50"/>
      <c r="P82" s="190"/>
      <c r="Q82" s="49"/>
      <c r="R82" s="49"/>
      <c r="S82" s="55"/>
      <c r="T82" s="55"/>
      <c r="U82" s="55"/>
      <c r="V82" s="179"/>
      <c r="W82" s="179"/>
      <c r="X82" s="179"/>
      <c r="Y82" s="179"/>
      <c r="Z82" s="179"/>
      <c r="AA82" s="180"/>
      <c r="AB82" s="180"/>
      <c r="AC82" s="180"/>
      <c r="AD82" s="180"/>
      <c r="AE82" s="180"/>
      <c r="AF82" s="180"/>
      <c r="AG82" s="180"/>
      <c r="AH82" s="180"/>
      <c r="AI82" s="180"/>
      <c r="AJ82" s="32"/>
      <c r="AK82" s="79"/>
      <c r="AL82" s="32"/>
      <c r="AM82" s="79"/>
      <c r="AN82" s="4"/>
      <c r="AO82" s="4"/>
      <c r="AP82" s="4"/>
    </row>
    <row r="83" spans="1:42" s="56" customFormat="1" ht="42" x14ac:dyDescent="0.45">
      <c r="A83" s="47"/>
      <c r="B83" s="48"/>
      <c r="C83" s="48"/>
      <c r="D83" s="48"/>
      <c r="E83" s="48"/>
      <c r="F83" s="48"/>
      <c r="G83" s="48"/>
      <c r="H83" s="49"/>
      <c r="I83" s="50"/>
      <c r="J83" s="50"/>
      <c r="K83" s="190"/>
      <c r="L83" s="225"/>
      <c r="M83" s="50"/>
      <c r="N83" s="225"/>
      <c r="O83" s="50"/>
      <c r="P83" s="190"/>
      <c r="Q83" s="49"/>
      <c r="R83" s="49"/>
      <c r="S83" s="57"/>
      <c r="T83" s="57"/>
      <c r="U83" s="57"/>
      <c r="V83" s="179"/>
      <c r="W83" s="179"/>
      <c r="X83" s="179"/>
      <c r="Y83" s="179"/>
      <c r="Z83" s="179"/>
      <c r="AA83" s="180"/>
      <c r="AB83" s="180"/>
      <c r="AC83" s="180"/>
      <c r="AD83" s="180"/>
      <c r="AE83" s="180"/>
      <c r="AF83" s="180"/>
      <c r="AG83" s="180"/>
      <c r="AH83" s="180"/>
      <c r="AI83" s="180"/>
      <c r="AJ83" s="32"/>
      <c r="AK83" s="79"/>
      <c r="AL83" s="32"/>
      <c r="AM83" s="79"/>
      <c r="AN83" s="4"/>
      <c r="AO83" s="4"/>
      <c r="AP83" s="4"/>
    </row>
    <row r="84" spans="1:42" s="56" customFormat="1" ht="42" x14ac:dyDescent="0.45">
      <c r="A84" s="47"/>
      <c r="B84" s="48"/>
      <c r="C84" s="48"/>
      <c r="D84" s="48"/>
      <c r="E84" s="48"/>
      <c r="F84" s="48"/>
      <c r="G84" s="48"/>
      <c r="H84" s="49"/>
      <c r="I84" s="50"/>
      <c r="J84" s="50"/>
      <c r="K84" s="190"/>
      <c r="L84" s="225"/>
      <c r="M84" s="50"/>
      <c r="N84" s="225"/>
      <c r="O84" s="50"/>
      <c r="P84" s="190"/>
      <c r="Q84" s="49"/>
      <c r="R84" s="49"/>
      <c r="S84" s="55"/>
      <c r="T84" s="55"/>
      <c r="U84" s="55"/>
      <c r="V84" s="179"/>
      <c r="W84" s="179"/>
      <c r="X84" s="179"/>
      <c r="Y84" s="179"/>
      <c r="Z84" s="179"/>
      <c r="AA84" s="180"/>
      <c r="AB84" s="180"/>
      <c r="AC84" s="180"/>
      <c r="AD84" s="180"/>
      <c r="AE84" s="180"/>
      <c r="AF84" s="180"/>
      <c r="AG84" s="180"/>
      <c r="AH84" s="180"/>
      <c r="AI84" s="180"/>
      <c r="AJ84" s="32"/>
      <c r="AK84" s="79"/>
      <c r="AL84" s="32"/>
      <c r="AM84" s="79"/>
      <c r="AN84" s="4"/>
      <c r="AO84" s="4"/>
      <c r="AP84" s="4"/>
    </row>
    <row r="85" spans="1:42" ht="42" x14ac:dyDescent="0.45">
      <c r="V85" s="179"/>
      <c r="W85" s="179"/>
      <c r="X85" s="179"/>
      <c r="Y85" s="179"/>
      <c r="Z85" s="179"/>
      <c r="AA85" s="180"/>
      <c r="AB85" s="180"/>
      <c r="AC85" s="180"/>
      <c r="AD85" s="180"/>
      <c r="AE85" s="180"/>
      <c r="AF85" s="180"/>
      <c r="AG85" s="180"/>
      <c r="AH85" s="180"/>
      <c r="AI85" s="180"/>
      <c r="AJ85" s="32"/>
      <c r="AL85" s="32"/>
    </row>
    <row r="86" spans="1:42" ht="42" x14ac:dyDescent="0.45">
      <c r="V86" s="179"/>
      <c r="W86" s="179"/>
      <c r="X86" s="179"/>
      <c r="Y86" s="179"/>
      <c r="Z86" s="179"/>
      <c r="AA86" s="180"/>
      <c r="AB86" s="180"/>
      <c r="AC86" s="180"/>
      <c r="AD86" s="180"/>
      <c r="AE86" s="180"/>
      <c r="AF86" s="180"/>
      <c r="AG86" s="180"/>
      <c r="AH86" s="180"/>
      <c r="AI86" s="180"/>
      <c r="AJ86" s="32"/>
      <c r="AL86" s="32"/>
    </row>
    <row r="87" spans="1:42" ht="42" x14ac:dyDescent="0.45">
      <c r="V87" s="179"/>
      <c r="W87" s="179"/>
      <c r="X87" s="179"/>
      <c r="Y87" s="179"/>
      <c r="Z87" s="179"/>
      <c r="AA87" s="180"/>
      <c r="AB87" s="180"/>
      <c r="AC87" s="180"/>
      <c r="AD87" s="180"/>
      <c r="AE87" s="180"/>
      <c r="AF87" s="180"/>
      <c r="AG87" s="180"/>
      <c r="AH87" s="180"/>
      <c r="AI87" s="180"/>
      <c r="AJ87" s="32"/>
      <c r="AL87" s="32"/>
    </row>
    <row r="88" spans="1:42" ht="42" x14ac:dyDescent="0.45">
      <c r="V88" s="179"/>
      <c r="W88" s="179"/>
      <c r="X88" s="179"/>
      <c r="Y88" s="179"/>
      <c r="Z88" s="179"/>
      <c r="AA88" s="180"/>
      <c r="AB88" s="180"/>
      <c r="AC88" s="180"/>
      <c r="AD88" s="180"/>
      <c r="AE88" s="180"/>
      <c r="AF88" s="180"/>
      <c r="AG88" s="180"/>
      <c r="AH88" s="180"/>
      <c r="AI88" s="180"/>
      <c r="AJ88" s="156">
        <f t="shared" ref="AJ88:AL88" si="78">SUM(AJ82:AJ87)</f>
        <v>0</v>
      </c>
      <c r="AL88" s="156">
        <f t="shared" si="78"/>
        <v>0</v>
      </c>
    </row>
    <row r="89" spans="1:42" ht="42" x14ac:dyDescent="0.45">
      <c r="V89" s="179"/>
      <c r="W89" s="179"/>
      <c r="X89" s="179"/>
      <c r="Y89" s="179"/>
      <c r="Z89" s="179"/>
      <c r="AA89" s="180"/>
      <c r="AB89" s="180"/>
      <c r="AC89" s="180"/>
      <c r="AD89" s="180"/>
      <c r="AE89" s="180"/>
      <c r="AF89" s="180"/>
      <c r="AG89" s="180"/>
      <c r="AH89" s="180"/>
      <c r="AI89" s="180"/>
      <c r="AJ89" s="93"/>
      <c r="AL89" s="93"/>
    </row>
    <row r="90" spans="1:42" ht="42" x14ac:dyDescent="0.45">
      <c r="V90" s="179"/>
      <c r="W90" s="179"/>
      <c r="X90" s="179"/>
      <c r="Y90" s="179"/>
      <c r="Z90" s="179"/>
      <c r="AA90" s="180"/>
      <c r="AB90" s="180"/>
      <c r="AC90" s="180"/>
      <c r="AD90" s="180"/>
      <c r="AE90" s="180"/>
      <c r="AF90" s="180"/>
      <c r="AG90" s="180"/>
      <c r="AH90" s="180"/>
      <c r="AI90" s="180"/>
      <c r="AJ90" s="32">
        <f t="shared" ref="AJ90:AL90" si="79">AJ88</f>
        <v>0</v>
      </c>
      <c r="AL90" s="32">
        <f t="shared" si="79"/>
        <v>0</v>
      </c>
    </row>
    <row r="91" spans="1:42" ht="42" x14ac:dyDescent="0.45">
      <c r="V91" s="179"/>
      <c r="W91" s="179"/>
      <c r="X91" s="179"/>
      <c r="Y91" s="179"/>
      <c r="Z91" s="179"/>
      <c r="AA91" s="180"/>
      <c r="AB91" s="180"/>
      <c r="AC91" s="180"/>
      <c r="AD91" s="180"/>
      <c r="AE91" s="180"/>
      <c r="AF91" s="180"/>
      <c r="AG91" s="180"/>
      <c r="AH91" s="180"/>
      <c r="AI91" s="180"/>
      <c r="AJ91" s="32"/>
      <c r="AL91" s="32"/>
    </row>
    <row r="92" spans="1:42" ht="42" x14ac:dyDescent="0.45">
      <c r="V92" s="179"/>
      <c r="W92" s="179"/>
      <c r="X92" s="179"/>
      <c r="Y92" s="179"/>
      <c r="Z92" s="179"/>
      <c r="AA92" s="180"/>
      <c r="AB92" s="180"/>
      <c r="AC92" s="180"/>
      <c r="AD92" s="180"/>
      <c r="AE92" s="180"/>
      <c r="AF92" s="180"/>
      <c r="AG92" s="180"/>
      <c r="AH92" s="180"/>
      <c r="AI92" s="180"/>
      <c r="AJ92" s="32"/>
      <c r="AL92" s="32"/>
    </row>
    <row r="93" spans="1:42" ht="47.25" x14ac:dyDescent="0.45">
      <c r="V93" s="179"/>
      <c r="W93" s="179"/>
      <c r="X93" s="179"/>
      <c r="Y93" s="179"/>
      <c r="Z93" s="179"/>
      <c r="AA93" s="180"/>
      <c r="AB93" s="180"/>
      <c r="AC93" s="180"/>
      <c r="AD93" s="180"/>
      <c r="AE93" s="180"/>
      <c r="AF93" s="180"/>
      <c r="AG93" s="180"/>
      <c r="AH93" s="180"/>
      <c r="AI93" s="180"/>
      <c r="AJ93" s="60"/>
      <c r="AL93" s="60"/>
    </row>
    <row r="94" spans="1:42" ht="42" x14ac:dyDescent="0.45">
      <c r="V94" s="179"/>
      <c r="W94" s="179"/>
      <c r="X94" s="179"/>
      <c r="Y94" s="179"/>
      <c r="Z94" s="179"/>
      <c r="AA94" s="180"/>
      <c r="AB94" s="180"/>
      <c r="AC94" s="180"/>
      <c r="AD94" s="180"/>
      <c r="AE94" s="180"/>
      <c r="AF94" s="180"/>
      <c r="AG94" s="180"/>
      <c r="AH94" s="180"/>
      <c r="AI94" s="180"/>
      <c r="AJ94" s="32"/>
      <c r="AL94" s="32"/>
    </row>
    <row r="95" spans="1:42" ht="42" x14ac:dyDescent="0.45">
      <c r="V95" s="179"/>
      <c r="W95" s="179"/>
      <c r="X95" s="179"/>
      <c r="Y95" s="179"/>
      <c r="Z95" s="179"/>
      <c r="AA95" s="180"/>
      <c r="AB95" s="180"/>
      <c r="AC95" s="180"/>
      <c r="AD95" s="180"/>
      <c r="AE95" s="180"/>
      <c r="AF95" s="180"/>
      <c r="AG95" s="180"/>
      <c r="AH95" s="180"/>
      <c r="AI95" s="180"/>
      <c r="AJ95" s="32"/>
      <c r="AL95" s="32"/>
    </row>
    <row r="96" spans="1:42" ht="42" x14ac:dyDescent="0.45">
      <c r="V96" s="179"/>
      <c r="W96" s="179"/>
      <c r="X96" s="179"/>
      <c r="Y96" s="179"/>
      <c r="Z96" s="179"/>
      <c r="AA96" s="180"/>
      <c r="AB96" s="180"/>
      <c r="AC96" s="180"/>
      <c r="AD96" s="180"/>
      <c r="AE96" s="180"/>
      <c r="AF96" s="180"/>
      <c r="AG96" s="180"/>
      <c r="AH96" s="180"/>
      <c r="AI96" s="180"/>
      <c r="AJ96" s="156">
        <f>SUM(AJ94:AJ95)</f>
        <v>0</v>
      </c>
      <c r="AL96" s="156">
        <f>SUM(AL94:AL95)</f>
        <v>0</v>
      </c>
    </row>
    <row r="97" spans="22:38" ht="42" x14ac:dyDescent="0.45">
      <c r="V97" s="179"/>
      <c r="W97" s="179"/>
      <c r="X97" s="179"/>
      <c r="Y97" s="179"/>
      <c r="Z97" s="179"/>
      <c r="AA97" s="180"/>
      <c r="AB97" s="180"/>
      <c r="AC97" s="180"/>
      <c r="AD97" s="180"/>
      <c r="AE97" s="180"/>
      <c r="AF97" s="180"/>
      <c r="AG97" s="180"/>
      <c r="AH97" s="180"/>
      <c r="AI97" s="180"/>
      <c r="AJ97" s="93"/>
      <c r="AL97" s="93"/>
    </row>
    <row r="98" spans="22:38" ht="42" x14ac:dyDescent="0.45">
      <c r="V98" s="179"/>
      <c r="W98" s="179"/>
      <c r="X98" s="179"/>
      <c r="Y98" s="179"/>
      <c r="Z98" s="179"/>
      <c r="AA98" s="180"/>
      <c r="AB98" s="180"/>
      <c r="AC98" s="180"/>
      <c r="AD98" s="180"/>
      <c r="AE98" s="180"/>
      <c r="AF98" s="180"/>
      <c r="AG98" s="180"/>
      <c r="AH98" s="180"/>
      <c r="AI98" s="180"/>
      <c r="AJ98" s="32">
        <f t="shared" ref="AJ98:AL98" si="80">AJ96</f>
        <v>0</v>
      </c>
      <c r="AL98" s="32">
        <f t="shared" si="80"/>
        <v>0</v>
      </c>
    </row>
    <row r="99" spans="22:38" ht="42" x14ac:dyDescent="0.45">
      <c r="V99" s="179"/>
      <c r="W99" s="179"/>
      <c r="X99" s="179"/>
      <c r="Y99" s="179"/>
      <c r="Z99" s="179"/>
      <c r="AA99" s="180"/>
      <c r="AB99" s="180"/>
      <c r="AC99" s="180"/>
      <c r="AD99" s="180"/>
      <c r="AE99" s="180"/>
      <c r="AF99" s="180"/>
      <c r="AG99" s="180"/>
      <c r="AH99" s="180"/>
      <c r="AI99" s="180"/>
      <c r="AJ99" s="32"/>
      <c r="AL99" s="32"/>
    </row>
    <row r="100" spans="22:38" ht="42" x14ac:dyDescent="0.45">
      <c r="V100" s="179"/>
      <c r="W100" s="179"/>
      <c r="X100" s="179"/>
      <c r="Y100" s="179"/>
      <c r="Z100" s="179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32"/>
      <c r="AL100" s="32"/>
    </row>
    <row r="101" spans="22:38" ht="47.25" x14ac:dyDescent="0.45">
      <c r="V101" s="179"/>
      <c r="W101" s="179"/>
      <c r="X101" s="179"/>
      <c r="Y101" s="179"/>
      <c r="Z101" s="179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87"/>
      <c r="AL101" s="87"/>
    </row>
    <row r="102" spans="22:38" ht="47.25" x14ac:dyDescent="0.45">
      <c r="V102" s="179"/>
      <c r="W102" s="179"/>
      <c r="X102" s="179"/>
      <c r="Y102" s="179"/>
      <c r="Z102" s="179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07"/>
      <c r="AL102" s="107"/>
    </row>
    <row r="103" spans="22:38" ht="42" x14ac:dyDescent="0.45">
      <c r="V103" s="179"/>
      <c r="W103" s="179"/>
      <c r="X103" s="179"/>
      <c r="Y103" s="179"/>
      <c r="Z103" s="179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32"/>
      <c r="AL103" s="32"/>
    </row>
    <row r="104" spans="22:38" ht="42" x14ac:dyDescent="0.45">
      <c r="V104" s="179"/>
      <c r="W104" s="179"/>
      <c r="X104" s="179"/>
      <c r="Y104" s="179"/>
      <c r="Z104" s="179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32"/>
      <c r="AL104" s="32"/>
    </row>
    <row r="105" spans="22:38" ht="42" x14ac:dyDescent="0.45">
      <c r="V105" s="179"/>
      <c r="W105" s="179"/>
      <c r="X105" s="179"/>
      <c r="Y105" s="179"/>
      <c r="Z105" s="179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32"/>
      <c r="AL105" s="32"/>
    </row>
    <row r="106" spans="22:38" ht="42" x14ac:dyDescent="0.45">
      <c r="V106" s="179"/>
      <c r="W106" s="179"/>
      <c r="X106" s="179"/>
      <c r="Y106" s="179"/>
      <c r="Z106" s="179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32"/>
      <c r="AL106" s="32"/>
    </row>
    <row r="107" spans="22:38" ht="42" x14ac:dyDescent="0.45">
      <c r="V107" s="179"/>
      <c r="W107" s="179"/>
      <c r="X107" s="179"/>
      <c r="Y107" s="179"/>
      <c r="Z107" s="179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32"/>
      <c r="AL107" s="32"/>
    </row>
    <row r="108" spans="22:38" ht="42" x14ac:dyDescent="0.45">
      <c r="V108" s="179"/>
      <c r="W108" s="179"/>
      <c r="X108" s="179"/>
      <c r="Y108" s="179"/>
      <c r="Z108" s="179"/>
      <c r="AA108" s="180"/>
      <c r="AB108" s="180"/>
      <c r="AC108" s="180"/>
      <c r="AD108" s="180"/>
      <c r="AE108" s="180"/>
      <c r="AF108" s="180"/>
      <c r="AG108" s="180"/>
      <c r="AH108" s="180"/>
      <c r="AI108" s="180"/>
      <c r="AJ108" s="156">
        <f t="shared" ref="AJ108:AL108" si="81">SUM(AJ103:AJ107)</f>
        <v>0</v>
      </c>
      <c r="AL108" s="156">
        <f t="shared" si="81"/>
        <v>0</v>
      </c>
    </row>
    <row r="109" spans="22:38" ht="42" x14ac:dyDescent="0.45">
      <c r="V109" s="179"/>
      <c r="W109" s="179"/>
      <c r="X109" s="179"/>
      <c r="Y109" s="179"/>
      <c r="Z109" s="179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91"/>
      <c r="AL109" s="91"/>
    </row>
    <row r="110" spans="22:38" ht="42" x14ac:dyDescent="0.45">
      <c r="V110" s="179"/>
      <c r="W110" s="179"/>
      <c r="X110" s="179"/>
      <c r="Y110" s="179"/>
      <c r="Z110" s="179"/>
      <c r="AA110" s="180"/>
      <c r="AB110" s="180"/>
      <c r="AC110" s="180"/>
      <c r="AD110" s="180"/>
      <c r="AE110" s="180"/>
      <c r="AF110" s="180"/>
      <c r="AG110" s="180"/>
      <c r="AH110" s="180"/>
      <c r="AI110" s="180"/>
      <c r="AJ110" s="91"/>
      <c r="AL110" s="91"/>
    </row>
    <row r="111" spans="22:38" ht="42" x14ac:dyDescent="0.45">
      <c r="V111" s="179"/>
      <c r="W111" s="179"/>
      <c r="X111" s="179"/>
      <c r="Y111" s="179"/>
      <c r="Z111" s="179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32">
        <f t="shared" ref="AJ111:AL111" si="82">AJ108</f>
        <v>0</v>
      </c>
      <c r="AL111" s="32">
        <f t="shared" si="82"/>
        <v>0</v>
      </c>
    </row>
    <row r="112" spans="22:38" ht="42" x14ac:dyDescent="0.45">
      <c r="V112" s="179"/>
      <c r="W112" s="179"/>
      <c r="X112" s="179"/>
      <c r="Y112" s="179"/>
      <c r="Z112" s="179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32"/>
      <c r="AL112" s="32"/>
    </row>
    <row r="113" spans="22:38" ht="42" x14ac:dyDescent="0.45">
      <c r="V113" s="179"/>
      <c r="W113" s="179"/>
      <c r="X113" s="179"/>
      <c r="Y113" s="179"/>
      <c r="Z113" s="179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32"/>
      <c r="AL113" s="32"/>
    </row>
    <row r="114" spans="22:38" ht="47.25" x14ac:dyDescent="0.45">
      <c r="V114" s="179"/>
      <c r="W114" s="179"/>
      <c r="X114" s="179"/>
      <c r="Y114" s="179"/>
      <c r="Z114" s="179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87"/>
      <c r="AL114" s="87"/>
    </row>
    <row r="115" spans="22:38" ht="47.25" x14ac:dyDescent="0.45">
      <c r="V115" s="179"/>
      <c r="W115" s="179"/>
      <c r="X115" s="179"/>
      <c r="Y115" s="179"/>
      <c r="Z115" s="179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07"/>
      <c r="AL115" s="107"/>
    </row>
    <row r="116" spans="22:38" ht="42" x14ac:dyDescent="0.45">
      <c r="V116" s="179"/>
      <c r="W116" s="179"/>
      <c r="X116" s="179"/>
      <c r="Y116" s="179"/>
      <c r="Z116" s="179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32"/>
      <c r="AL116" s="32"/>
    </row>
    <row r="117" spans="22:38" ht="42" x14ac:dyDescent="0.45">
      <c r="V117" s="179"/>
      <c r="W117" s="179"/>
      <c r="X117" s="179"/>
      <c r="Y117" s="179"/>
      <c r="Z117" s="179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32"/>
      <c r="AL117" s="32"/>
    </row>
    <row r="118" spans="22:38" ht="42" x14ac:dyDescent="0.45">
      <c r="V118" s="179"/>
      <c r="W118" s="179"/>
      <c r="X118" s="179"/>
      <c r="Y118" s="179"/>
      <c r="Z118" s="179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32"/>
      <c r="AL118" s="32"/>
    </row>
    <row r="119" spans="22:38" ht="42" x14ac:dyDescent="0.45">
      <c r="V119" s="179"/>
      <c r="W119" s="179"/>
      <c r="X119" s="179"/>
      <c r="Y119" s="179"/>
      <c r="Z119" s="179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32"/>
      <c r="AL119" s="32"/>
    </row>
    <row r="120" spans="22:38" ht="42" x14ac:dyDescent="0.45">
      <c r="V120" s="179"/>
      <c r="W120" s="179"/>
      <c r="X120" s="179"/>
      <c r="Y120" s="179"/>
      <c r="Z120" s="179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32"/>
      <c r="AL120" s="32"/>
    </row>
    <row r="121" spans="22:38" ht="42" x14ac:dyDescent="0.45">
      <c r="V121" s="179"/>
      <c r="W121" s="179"/>
      <c r="X121" s="179"/>
      <c r="Y121" s="179"/>
      <c r="Z121" s="179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32"/>
      <c r="AL121" s="32"/>
    </row>
    <row r="122" spans="22:38" ht="42" x14ac:dyDescent="0.45">
      <c r="V122" s="179"/>
      <c r="W122" s="179"/>
      <c r="X122" s="179"/>
      <c r="Y122" s="179"/>
      <c r="Z122" s="179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32"/>
      <c r="AL122" s="32"/>
    </row>
    <row r="123" spans="22:38" ht="42" x14ac:dyDescent="0.45">
      <c r="V123" s="179"/>
      <c r="W123" s="179"/>
      <c r="X123" s="179"/>
      <c r="Y123" s="179"/>
      <c r="Z123" s="179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32"/>
      <c r="AL123" s="32"/>
    </row>
    <row r="124" spans="22:38" ht="42" x14ac:dyDescent="0.45">
      <c r="V124" s="179"/>
      <c r="W124" s="179"/>
      <c r="X124" s="179"/>
      <c r="Y124" s="179"/>
      <c r="Z124" s="179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56">
        <f t="shared" ref="AJ124:AL124" si="83">SUM(AJ116:AJ123)</f>
        <v>0</v>
      </c>
      <c r="AL124" s="156">
        <f t="shared" si="83"/>
        <v>0</v>
      </c>
    </row>
    <row r="125" spans="22:38" ht="42" x14ac:dyDescent="0.45">
      <c r="V125" s="179"/>
      <c r="W125" s="179"/>
      <c r="X125" s="179"/>
      <c r="Y125" s="179"/>
      <c r="Z125" s="179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91"/>
      <c r="AL125" s="91"/>
    </row>
    <row r="126" spans="22:38" ht="42" x14ac:dyDescent="0.45">
      <c r="V126" s="179"/>
      <c r="W126" s="179"/>
      <c r="X126" s="179"/>
      <c r="Y126" s="179"/>
      <c r="Z126" s="179"/>
      <c r="AA126" s="180"/>
      <c r="AB126" s="180"/>
      <c r="AC126" s="180"/>
      <c r="AD126" s="180"/>
      <c r="AE126" s="180"/>
      <c r="AF126" s="180"/>
      <c r="AG126" s="180"/>
      <c r="AH126" s="180"/>
      <c r="AI126" s="180"/>
      <c r="AJ126" s="32">
        <f t="shared" ref="AJ126:AL126" si="84">AJ124</f>
        <v>0</v>
      </c>
      <c r="AL126" s="32">
        <f t="shared" si="84"/>
        <v>0</v>
      </c>
    </row>
    <row r="127" spans="22:38" ht="42" x14ac:dyDescent="0.45">
      <c r="V127" s="179"/>
      <c r="W127" s="179"/>
      <c r="X127" s="179"/>
      <c r="Y127" s="179"/>
      <c r="Z127" s="179"/>
      <c r="AA127" s="180"/>
      <c r="AB127" s="180"/>
      <c r="AC127" s="180"/>
      <c r="AD127" s="180"/>
      <c r="AE127" s="180"/>
      <c r="AF127" s="180"/>
      <c r="AG127" s="180"/>
      <c r="AH127" s="180"/>
      <c r="AI127" s="180"/>
      <c r="AJ127" s="32"/>
      <c r="AL127" s="32"/>
    </row>
    <row r="128" spans="22:38" ht="42" x14ac:dyDescent="0.45">
      <c r="V128" s="179"/>
      <c r="W128" s="179"/>
      <c r="X128" s="179"/>
      <c r="Y128" s="179"/>
      <c r="Z128" s="179"/>
      <c r="AA128" s="180"/>
      <c r="AB128" s="180"/>
      <c r="AC128" s="180"/>
      <c r="AD128" s="180"/>
      <c r="AE128" s="180"/>
      <c r="AF128" s="180"/>
      <c r="AG128" s="180"/>
      <c r="AH128" s="180"/>
      <c r="AI128" s="180"/>
      <c r="AJ128" s="32"/>
      <c r="AL128" s="32"/>
    </row>
    <row r="129" spans="22:38" ht="47.25" x14ac:dyDescent="0.45">
      <c r="V129" s="179"/>
      <c r="W129" s="179"/>
      <c r="X129" s="179"/>
      <c r="Y129" s="179"/>
      <c r="Z129" s="179"/>
      <c r="AA129" s="180"/>
      <c r="AB129" s="180"/>
      <c r="AC129" s="180"/>
      <c r="AD129" s="180"/>
      <c r="AE129" s="180"/>
      <c r="AF129" s="180"/>
      <c r="AG129" s="180"/>
      <c r="AH129" s="180"/>
      <c r="AI129" s="180"/>
      <c r="AJ129" s="60"/>
      <c r="AL129" s="60"/>
    </row>
    <row r="130" spans="22:38" ht="42" x14ac:dyDescent="0.45">
      <c r="V130" s="179"/>
      <c r="W130" s="179"/>
      <c r="X130" s="179"/>
      <c r="Y130" s="179"/>
      <c r="Z130" s="179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32"/>
      <c r="AL130" s="32"/>
    </row>
    <row r="131" spans="22:38" ht="42" x14ac:dyDescent="0.45">
      <c r="V131" s="179"/>
      <c r="W131" s="179"/>
      <c r="X131" s="179"/>
      <c r="Y131" s="179"/>
      <c r="Z131" s="179"/>
      <c r="AA131" s="180"/>
      <c r="AB131" s="180"/>
      <c r="AC131" s="180"/>
      <c r="AD131" s="180"/>
      <c r="AE131" s="180"/>
      <c r="AF131" s="180"/>
      <c r="AG131" s="180"/>
      <c r="AH131" s="180"/>
      <c r="AI131" s="180"/>
      <c r="AJ131" s="32"/>
      <c r="AL131" s="32"/>
    </row>
    <row r="132" spans="22:38" ht="42" x14ac:dyDescent="0.45">
      <c r="V132" s="179"/>
      <c r="W132" s="179"/>
      <c r="X132" s="179"/>
      <c r="Y132" s="179"/>
      <c r="Z132" s="179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32"/>
      <c r="AL132" s="32"/>
    </row>
    <row r="133" spans="22:38" ht="42" x14ac:dyDescent="0.45">
      <c r="V133" s="179"/>
      <c r="W133" s="179"/>
      <c r="X133" s="179"/>
      <c r="Y133" s="179"/>
      <c r="Z133" s="179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32"/>
      <c r="AL133" s="32"/>
    </row>
    <row r="134" spans="22:38" ht="42" x14ac:dyDescent="0.45">
      <c r="V134" s="179"/>
      <c r="W134" s="179"/>
      <c r="X134" s="179"/>
      <c r="Y134" s="179"/>
      <c r="Z134" s="179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32"/>
      <c r="AL134" s="32"/>
    </row>
    <row r="135" spans="22:38" ht="42" x14ac:dyDescent="0.45">
      <c r="V135" s="179"/>
      <c r="W135" s="179"/>
      <c r="X135" s="179"/>
      <c r="Y135" s="179"/>
      <c r="Z135" s="179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56">
        <f t="shared" ref="AJ135:AL135" si="85">SUM(AJ130:AJ134)</f>
        <v>0</v>
      </c>
      <c r="AL135" s="156">
        <f t="shared" si="85"/>
        <v>0</v>
      </c>
    </row>
    <row r="136" spans="22:38" ht="42" x14ac:dyDescent="0.45">
      <c r="V136" s="179"/>
      <c r="W136" s="179"/>
      <c r="X136" s="179"/>
      <c r="Y136" s="179"/>
      <c r="Z136" s="179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93"/>
      <c r="AL136" s="93"/>
    </row>
    <row r="137" spans="22:38" ht="42" x14ac:dyDescent="0.45">
      <c r="V137" s="179"/>
      <c r="W137" s="179"/>
      <c r="X137" s="179"/>
      <c r="Y137" s="179"/>
      <c r="Z137" s="179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32">
        <f t="shared" ref="AJ137:AL137" si="86">AJ135</f>
        <v>0</v>
      </c>
      <c r="AL137" s="32">
        <f t="shared" si="86"/>
        <v>0</v>
      </c>
    </row>
    <row r="138" spans="22:38" ht="42" x14ac:dyDescent="0.45">
      <c r="V138" s="179"/>
      <c r="W138" s="179"/>
      <c r="X138" s="179"/>
      <c r="Y138" s="179"/>
      <c r="Z138" s="179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32"/>
      <c r="AL138" s="32"/>
    </row>
    <row r="139" spans="22:38" ht="42" x14ac:dyDescent="0.45">
      <c r="V139" s="179"/>
      <c r="W139" s="179"/>
      <c r="X139" s="179"/>
      <c r="Y139" s="179"/>
      <c r="Z139" s="179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32"/>
      <c r="AL139" s="32"/>
    </row>
    <row r="140" spans="22:38" ht="47.25" x14ac:dyDescent="0.45">
      <c r="V140" s="179"/>
      <c r="W140" s="179"/>
      <c r="X140" s="179"/>
      <c r="Y140" s="179"/>
      <c r="Z140" s="179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60"/>
      <c r="AL140" s="60"/>
    </row>
    <row r="141" spans="22:38" ht="47.25" x14ac:dyDescent="0.45">
      <c r="V141" s="179"/>
      <c r="W141" s="179"/>
      <c r="X141" s="179"/>
      <c r="Y141" s="179"/>
      <c r="Z141" s="179"/>
      <c r="AA141" s="180"/>
      <c r="AB141" s="180"/>
      <c r="AC141" s="180"/>
      <c r="AD141" s="180"/>
      <c r="AE141" s="180"/>
      <c r="AF141" s="180"/>
      <c r="AG141" s="180"/>
      <c r="AH141" s="180"/>
      <c r="AI141" s="180"/>
      <c r="AJ141" s="107"/>
      <c r="AL141" s="107"/>
    </row>
    <row r="142" spans="22:38" ht="42" x14ac:dyDescent="0.45">
      <c r="V142" s="179"/>
      <c r="W142" s="179"/>
      <c r="X142" s="179"/>
      <c r="Y142" s="179"/>
      <c r="Z142" s="179"/>
      <c r="AA142" s="180"/>
      <c r="AB142" s="180"/>
      <c r="AC142" s="180"/>
      <c r="AD142" s="180"/>
      <c r="AE142" s="180"/>
      <c r="AF142" s="180"/>
      <c r="AG142" s="180"/>
      <c r="AH142" s="180"/>
      <c r="AI142" s="180"/>
      <c r="AJ142" s="32"/>
      <c r="AL142" s="32"/>
    </row>
    <row r="143" spans="22:38" ht="42" x14ac:dyDescent="0.45">
      <c r="V143" s="179"/>
      <c r="W143" s="179"/>
      <c r="X143" s="179"/>
      <c r="Y143" s="179"/>
      <c r="Z143" s="179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32"/>
      <c r="AL143" s="32"/>
    </row>
    <row r="144" spans="22:38" ht="42" x14ac:dyDescent="0.45">
      <c r="V144" s="179"/>
      <c r="W144" s="179"/>
      <c r="X144" s="179"/>
      <c r="Y144" s="179"/>
      <c r="Z144" s="179"/>
      <c r="AA144" s="180"/>
      <c r="AB144" s="180"/>
      <c r="AC144" s="180"/>
      <c r="AD144" s="180"/>
      <c r="AE144" s="180"/>
      <c r="AF144" s="180"/>
      <c r="AG144" s="180"/>
      <c r="AH144" s="180"/>
      <c r="AI144" s="180"/>
      <c r="AJ144" s="32"/>
      <c r="AL144" s="32"/>
    </row>
    <row r="145" spans="22:38" ht="42" x14ac:dyDescent="0.45">
      <c r="V145" s="179"/>
      <c r="W145" s="179"/>
      <c r="X145" s="179"/>
      <c r="Y145" s="179"/>
      <c r="Z145" s="179"/>
      <c r="AA145" s="180"/>
      <c r="AB145" s="180"/>
      <c r="AC145" s="180"/>
      <c r="AD145" s="180"/>
      <c r="AE145" s="180"/>
      <c r="AF145" s="180"/>
      <c r="AG145" s="180"/>
      <c r="AH145" s="180"/>
      <c r="AI145" s="180"/>
      <c r="AJ145" s="32"/>
      <c r="AL145" s="32"/>
    </row>
    <row r="146" spans="22:38" ht="42" x14ac:dyDescent="0.45">
      <c r="V146" s="179"/>
      <c r="W146" s="179"/>
      <c r="X146" s="179"/>
      <c r="Y146" s="179"/>
      <c r="Z146" s="179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56">
        <f>SUM(AJ142:AJ144)</f>
        <v>0</v>
      </c>
      <c r="AL146" s="156">
        <f>SUM(AL142:AL144)</f>
        <v>0</v>
      </c>
    </row>
    <row r="147" spans="22:38" ht="42" x14ac:dyDescent="0.45">
      <c r="V147" s="179"/>
      <c r="W147" s="179"/>
      <c r="X147" s="179"/>
      <c r="Y147" s="179"/>
      <c r="Z147" s="179"/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93"/>
      <c r="AL147" s="93"/>
    </row>
    <row r="148" spans="22:38" ht="42" x14ac:dyDescent="0.45">
      <c r="V148" s="179"/>
      <c r="W148" s="179"/>
      <c r="X148" s="179"/>
      <c r="Y148" s="179"/>
      <c r="Z148" s="179"/>
      <c r="AA148" s="180"/>
      <c r="AB148" s="180"/>
      <c r="AC148" s="180"/>
      <c r="AD148" s="180"/>
      <c r="AE148" s="180"/>
      <c r="AF148" s="180"/>
      <c r="AG148" s="180"/>
      <c r="AH148" s="180"/>
      <c r="AI148" s="180"/>
      <c r="AJ148" s="32">
        <f t="shared" ref="AJ148:AL148" si="87">AJ146</f>
        <v>0</v>
      </c>
      <c r="AL148" s="32">
        <f t="shared" si="87"/>
        <v>0</v>
      </c>
    </row>
    <row r="149" spans="22:38" ht="42" x14ac:dyDescent="0.45">
      <c r="V149" s="179"/>
      <c r="W149" s="179"/>
      <c r="X149" s="179"/>
      <c r="Y149" s="179"/>
      <c r="Z149" s="179"/>
      <c r="AA149" s="180"/>
      <c r="AB149" s="180"/>
      <c r="AC149" s="180"/>
      <c r="AD149" s="180"/>
      <c r="AE149" s="180"/>
      <c r="AF149" s="180"/>
      <c r="AG149" s="180"/>
      <c r="AH149" s="180"/>
      <c r="AI149" s="180"/>
      <c r="AJ149" s="32"/>
      <c r="AL149" s="32"/>
    </row>
    <row r="150" spans="22:38" ht="42" x14ac:dyDescent="0.45">
      <c r="V150" s="179"/>
      <c r="W150" s="179"/>
      <c r="X150" s="179"/>
      <c r="Y150" s="179"/>
      <c r="Z150" s="179"/>
      <c r="AA150" s="180"/>
      <c r="AB150" s="180"/>
      <c r="AC150" s="180"/>
      <c r="AD150" s="180"/>
      <c r="AE150" s="180"/>
      <c r="AF150" s="180"/>
      <c r="AG150" s="180"/>
      <c r="AH150" s="180"/>
      <c r="AI150" s="180"/>
      <c r="AJ150" s="32"/>
      <c r="AL150" s="32"/>
    </row>
    <row r="151" spans="22:38" ht="47.25" x14ac:dyDescent="0.45">
      <c r="V151" s="179"/>
      <c r="W151" s="179"/>
      <c r="X151" s="179"/>
      <c r="Y151" s="179"/>
      <c r="Z151" s="179"/>
      <c r="AA151" s="180"/>
      <c r="AB151" s="180"/>
      <c r="AC151" s="180"/>
      <c r="AD151" s="180"/>
      <c r="AE151" s="180"/>
      <c r="AF151" s="180"/>
      <c r="AG151" s="180"/>
      <c r="AH151" s="180"/>
      <c r="AI151" s="180"/>
      <c r="AJ151" s="60"/>
      <c r="AL151" s="60"/>
    </row>
    <row r="152" spans="22:38" ht="47.25" x14ac:dyDescent="0.45">
      <c r="V152" s="179"/>
      <c r="W152" s="179"/>
      <c r="X152" s="179"/>
      <c r="Y152" s="179"/>
      <c r="Z152" s="179"/>
      <c r="AA152" s="180"/>
      <c r="AB152" s="180"/>
      <c r="AC152" s="180"/>
      <c r="AD152" s="180"/>
      <c r="AE152" s="180"/>
      <c r="AF152" s="180"/>
      <c r="AG152" s="180"/>
      <c r="AH152" s="180"/>
      <c r="AI152" s="180"/>
      <c r="AJ152" s="107"/>
      <c r="AL152" s="107"/>
    </row>
    <row r="153" spans="22:38" ht="42" x14ac:dyDescent="0.45">
      <c r="V153" s="179"/>
      <c r="W153" s="179"/>
      <c r="X153" s="179"/>
      <c r="Y153" s="179"/>
      <c r="Z153" s="179"/>
      <c r="AA153" s="180"/>
      <c r="AB153" s="180"/>
      <c r="AC153" s="180"/>
      <c r="AD153" s="180"/>
      <c r="AE153" s="180"/>
      <c r="AF153" s="180"/>
      <c r="AG153" s="180"/>
      <c r="AH153" s="180"/>
      <c r="AI153" s="180"/>
      <c r="AJ153" s="32"/>
      <c r="AL153" s="32"/>
    </row>
    <row r="154" spans="22:38" ht="42" x14ac:dyDescent="0.45">
      <c r="V154" s="179"/>
      <c r="W154" s="179"/>
      <c r="X154" s="179"/>
      <c r="Y154" s="179"/>
      <c r="Z154" s="179"/>
      <c r="AA154" s="180"/>
      <c r="AB154" s="180"/>
      <c r="AC154" s="180"/>
      <c r="AD154" s="180"/>
      <c r="AE154" s="180"/>
      <c r="AF154" s="180"/>
      <c r="AG154" s="180"/>
      <c r="AH154" s="180"/>
      <c r="AI154" s="180"/>
      <c r="AJ154" s="32"/>
      <c r="AL154" s="32"/>
    </row>
    <row r="155" spans="22:38" ht="42" x14ac:dyDescent="0.45">
      <c r="V155" s="179"/>
      <c r="W155" s="179"/>
      <c r="X155" s="179"/>
      <c r="Y155" s="179"/>
      <c r="Z155" s="179"/>
      <c r="AA155" s="180"/>
      <c r="AB155" s="180"/>
      <c r="AC155" s="180"/>
      <c r="AD155" s="180"/>
      <c r="AE155" s="180"/>
      <c r="AF155" s="180"/>
      <c r="AG155" s="180"/>
      <c r="AH155" s="180"/>
      <c r="AI155" s="180"/>
      <c r="AJ155" s="32"/>
      <c r="AL155" s="32"/>
    </row>
    <row r="156" spans="22:38" ht="42" x14ac:dyDescent="0.45">
      <c r="V156" s="179"/>
      <c r="W156" s="179"/>
      <c r="X156" s="179"/>
      <c r="Y156" s="179"/>
      <c r="Z156" s="179"/>
      <c r="AA156" s="180"/>
      <c r="AB156" s="180"/>
      <c r="AC156" s="180"/>
      <c r="AD156" s="180"/>
      <c r="AE156" s="180"/>
      <c r="AF156" s="180"/>
      <c r="AG156" s="180"/>
      <c r="AH156" s="180"/>
      <c r="AI156" s="180"/>
      <c r="AJ156" s="32"/>
      <c r="AL156" s="32"/>
    </row>
    <row r="157" spans="22:38" ht="42" x14ac:dyDescent="0.45">
      <c r="V157" s="179"/>
      <c r="W157" s="179"/>
      <c r="X157" s="179"/>
      <c r="Y157" s="179"/>
      <c r="Z157" s="179"/>
      <c r="AA157" s="180"/>
      <c r="AB157" s="180"/>
      <c r="AC157" s="180"/>
      <c r="AD157" s="180"/>
      <c r="AE157" s="180"/>
      <c r="AF157" s="180"/>
      <c r="AG157" s="180"/>
      <c r="AH157" s="180"/>
      <c r="AI157" s="180"/>
      <c r="AJ157" s="32"/>
      <c r="AL157" s="32"/>
    </row>
    <row r="158" spans="22:38" ht="42" x14ac:dyDescent="0.45">
      <c r="V158" s="179"/>
      <c r="W158" s="179"/>
      <c r="X158" s="179"/>
      <c r="Y158" s="179"/>
      <c r="Z158" s="179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56">
        <f t="shared" ref="AJ158:AL158" si="88">SUM(AJ153:AJ157)</f>
        <v>0</v>
      </c>
      <c r="AL158" s="156">
        <f t="shared" si="88"/>
        <v>0</v>
      </c>
    </row>
    <row r="159" spans="22:38" ht="42" x14ac:dyDescent="0.45">
      <c r="V159" s="179"/>
      <c r="W159" s="179"/>
      <c r="X159" s="179"/>
      <c r="Y159" s="179"/>
      <c r="Z159" s="179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93"/>
      <c r="AL159" s="93"/>
    </row>
    <row r="160" spans="22:38" ht="42" x14ac:dyDescent="0.45">
      <c r="V160" s="179"/>
      <c r="W160" s="179"/>
      <c r="X160" s="179"/>
      <c r="Y160" s="179"/>
      <c r="Z160" s="179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32">
        <f t="shared" ref="AJ160:AL160" si="89">AJ158</f>
        <v>0</v>
      </c>
      <c r="AL160" s="32">
        <f t="shared" si="89"/>
        <v>0</v>
      </c>
    </row>
    <row r="161" spans="22:38" ht="42" x14ac:dyDescent="0.45">
      <c r="V161" s="179"/>
      <c r="W161" s="179"/>
      <c r="X161" s="179"/>
      <c r="Y161" s="179"/>
      <c r="Z161" s="179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32"/>
      <c r="AL161" s="32"/>
    </row>
    <row r="162" spans="22:38" ht="42" x14ac:dyDescent="0.45">
      <c r="V162" s="179"/>
      <c r="W162" s="179"/>
      <c r="X162" s="179"/>
      <c r="Y162" s="179"/>
      <c r="Z162" s="179"/>
      <c r="AA162" s="180"/>
      <c r="AB162" s="180"/>
      <c r="AC162" s="180"/>
      <c r="AD162" s="180"/>
      <c r="AE162" s="180"/>
      <c r="AF162" s="180"/>
      <c r="AG162" s="180"/>
      <c r="AH162" s="180"/>
      <c r="AI162" s="180"/>
      <c r="AJ162" s="32"/>
      <c r="AL162" s="32"/>
    </row>
    <row r="163" spans="22:38" ht="47.25" x14ac:dyDescent="0.45">
      <c r="V163" s="179"/>
      <c r="W163" s="179"/>
      <c r="X163" s="179"/>
      <c r="Y163" s="179"/>
      <c r="Z163" s="179"/>
      <c r="AA163" s="180"/>
      <c r="AB163" s="180"/>
      <c r="AC163" s="180"/>
      <c r="AD163" s="180"/>
      <c r="AE163" s="180"/>
      <c r="AF163" s="180"/>
      <c r="AG163" s="180"/>
      <c r="AH163" s="180"/>
      <c r="AI163" s="180"/>
      <c r="AJ163" s="60"/>
      <c r="AL163" s="60"/>
    </row>
    <row r="164" spans="22:38" ht="47.25" x14ac:dyDescent="0.45">
      <c r="V164" s="179"/>
      <c r="W164" s="179"/>
      <c r="X164" s="179"/>
      <c r="Y164" s="179"/>
      <c r="Z164" s="179"/>
      <c r="AA164" s="180"/>
      <c r="AB164" s="180"/>
      <c r="AC164" s="180"/>
      <c r="AD164" s="180"/>
      <c r="AE164" s="180"/>
      <c r="AF164" s="180"/>
      <c r="AG164" s="180"/>
      <c r="AH164" s="180"/>
      <c r="AI164" s="180"/>
      <c r="AJ164" s="100"/>
      <c r="AL164" s="100"/>
    </row>
    <row r="165" spans="22:38" ht="42" x14ac:dyDescent="0.45">
      <c r="V165" s="179"/>
      <c r="W165" s="179"/>
      <c r="X165" s="179"/>
      <c r="Y165" s="179"/>
      <c r="Z165" s="179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32"/>
      <c r="AL165" s="32"/>
    </row>
    <row r="166" spans="22:38" ht="42" x14ac:dyDescent="0.45">
      <c r="V166" s="179"/>
      <c r="W166" s="179"/>
      <c r="X166" s="179"/>
      <c r="Y166" s="179"/>
      <c r="Z166" s="179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56">
        <f t="shared" ref="AJ166:AL166" si="90">SUM(AJ165:AJ165)</f>
        <v>0</v>
      </c>
      <c r="AL166" s="156">
        <f t="shared" si="90"/>
        <v>0</v>
      </c>
    </row>
    <row r="167" spans="22:38" ht="42" x14ac:dyDescent="0.45">
      <c r="V167" s="179"/>
      <c r="W167" s="179"/>
      <c r="X167" s="179"/>
      <c r="Y167" s="179"/>
      <c r="Z167" s="179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02"/>
      <c r="AL167" s="102"/>
    </row>
    <row r="168" spans="22:38" ht="42" x14ac:dyDescent="0.45">
      <c r="V168" s="179"/>
      <c r="W168" s="179"/>
      <c r="X168" s="179"/>
      <c r="Y168" s="179"/>
      <c r="Z168" s="179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32"/>
      <c r="AL168" s="32"/>
    </row>
    <row r="169" spans="22:38" ht="42" x14ac:dyDescent="0.45">
      <c r="V169" s="179"/>
      <c r="W169" s="179"/>
      <c r="X169" s="179"/>
      <c r="Y169" s="179"/>
      <c r="Z169" s="179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56">
        <f t="shared" ref="AJ169:AL169" si="91">SUM(AJ168)</f>
        <v>0</v>
      </c>
      <c r="AL169" s="156">
        <f t="shared" si="91"/>
        <v>0</v>
      </c>
    </row>
    <row r="170" spans="22:38" ht="42" x14ac:dyDescent="0.45">
      <c r="V170" s="179"/>
      <c r="W170" s="179"/>
      <c r="X170" s="179"/>
      <c r="Y170" s="179"/>
      <c r="Z170" s="179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02"/>
      <c r="AL170" s="102"/>
    </row>
    <row r="171" spans="22:38" ht="42" x14ac:dyDescent="0.45">
      <c r="V171" s="179"/>
      <c r="W171" s="179"/>
      <c r="X171" s="179"/>
      <c r="Y171" s="179"/>
      <c r="Z171" s="179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32"/>
      <c r="AL171" s="32"/>
    </row>
    <row r="172" spans="22:38" ht="42" x14ac:dyDescent="0.45">
      <c r="V172" s="179"/>
      <c r="W172" s="179"/>
      <c r="X172" s="179"/>
      <c r="Y172" s="179"/>
      <c r="Z172" s="179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56">
        <f t="shared" ref="AJ172:AL172" si="92">SUM(AJ171)</f>
        <v>0</v>
      </c>
      <c r="AL172" s="156">
        <f t="shared" si="92"/>
        <v>0</v>
      </c>
    </row>
    <row r="173" spans="22:38" ht="42" x14ac:dyDescent="0.45">
      <c r="V173" s="179"/>
      <c r="W173" s="179"/>
      <c r="X173" s="179"/>
      <c r="Y173" s="179"/>
      <c r="Z173" s="179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02"/>
      <c r="AL173" s="102"/>
    </row>
    <row r="174" spans="22:38" ht="42" x14ac:dyDescent="0.45">
      <c r="V174" s="179"/>
      <c r="W174" s="179"/>
      <c r="X174" s="179"/>
      <c r="Y174" s="179"/>
      <c r="Z174" s="179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32"/>
      <c r="AL174" s="32"/>
    </row>
    <row r="175" spans="22:38" ht="42" x14ac:dyDescent="0.45">
      <c r="V175" s="179"/>
      <c r="W175" s="179"/>
      <c r="X175" s="179"/>
      <c r="Y175" s="179"/>
      <c r="Z175" s="179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56">
        <f t="shared" ref="AJ175:AL175" si="93">SUM(AJ174)</f>
        <v>0</v>
      </c>
      <c r="AL175" s="156">
        <f t="shared" si="93"/>
        <v>0</v>
      </c>
    </row>
    <row r="176" spans="22:38" ht="42" x14ac:dyDescent="0.45">
      <c r="V176" s="179"/>
      <c r="W176" s="179"/>
      <c r="X176" s="179"/>
      <c r="Y176" s="179"/>
      <c r="Z176" s="179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91"/>
      <c r="AL176" s="91"/>
    </row>
    <row r="177" spans="22:38" ht="42" x14ac:dyDescent="0.45">
      <c r="V177" s="179"/>
      <c r="W177" s="179"/>
      <c r="X177" s="179"/>
      <c r="Y177" s="179"/>
      <c r="Z177" s="179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32">
        <f t="shared" ref="AJ177:AL177" si="94">AJ175+AJ172+AJ169+AJ166</f>
        <v>0</v>
      </c>
      <c r="AL177" s="32">
        <f t="shared" si="94"/>
        <v>0</v>
      </c>
    </row>
    <row r="178" spans="22:38" ht="42" x14ac:dyDescent="0.45">
      <c r="V178" s="179"/>
      <c r="W178" s="179"/>
      <c r="X178" s="179"/>
      <c r="Y178" s="179"/>
      <c r="Z178" s="179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32"/>
      <c r="AL178" s="32"/>
    </row>
    <row r="179" spans="22:38" ht="42" x14ac:dyDescent="0.45">
      <c r="V179" s="179"/>
      <c r="W179" s="179"/>
      <c r="X179" s="179"/>
      <c r="Y179" s="179"/>
      <c r="Z179" s="179"/>
      <c r="AA179" s="180"/>
      <c r="AB179" s="180"/>
      <c r="AC179" s="180"/>
      <c r="AD179" s="180"/>
      <c r="AE179" s="180"/>
      <c r="AF179" s="180"/>
      <c r="AG179" s="180"/>
      <c r="AH179" s="180"/>
      <c r="AI179" s="180"/>
      <c r="AJ179" s="32"/>
      <c r="AL179" s="32"/>
    </row>
    <row r="180" spans="22:38" ht="47.25" x14ac:dyDescent="0.45">
      <c r="V180" s="179"/>
      <c r="W180" s="179"/>
      <c r="X180" s="179"/>
      <c r="Y180" s="179"/>
      <c r="Z180" s="179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60"/>
      <c r="AL180" s="60"/>
    </row>
    <row r="181" spans="22:38" ht="42" x14ac:dyDescent="0.45">
      <c r="V181" s="179"/>
      <c r="W181" s="179"/>
      <c r="X181" s="179"/>
      <c r="Y181" s="179"/>
      <c r="Z181" s="179"/>
      <c r="AA181" s="180"/>
      <c r="AB181" s="180"/>
      <c r="AC181" s="180"/>
      <c r="AD181" s="180"/>
      <c r="AE181" s="180"/>
      <c r="AF181" s="180"/>
      <c r="AG181" s="180"/>
      <c r="AH181" s="180"/>
      <c r="AI181" s="180"/>
      <c r="AJ181" s="32"/>
      <c r="AL181" s="32"/>
    </row>
    <row r="182" spans="22:38" ht="42" x14ac:dyDescent="0.45">
      <c r="V182" s="179"/>
      <c r="W182" s="179"/>
      <c r="X182" s="179"/>
      <c r="Y182" s="179"/>
      <c r="Z182" s="179"/>
      <c r="AA182" s="180"/>
      <c r="AB182" s="180"/>
      <c r="AC182" s="180"/>
      <c r="AD182" s="180"/>
      <c r="AE182" s="180"/>
      <c r="AF182" s="180"/>
      <c r="AG182" s="180"/>
      <c r="AH182" s="180"/>
      <c r="AI182" s="180"/>
      <c r="AJ182" s="156">
        <f t="shared" ref="AJ182:AL182" si="95">SUM(AJ181)</f>
        <v>0</v>
      </c>
      <c r="AL182" s="156">
        <f t="shared" si="95"/>
        <v>0</v>
      </c>
    </row>
    <row r="183" spans="22:38" ht="42" x14ac:dyDescent="0.45">
      <c r="V183" s="179"/>
      <c r="W183" s="179"/>
      <c r="X183" s="179"/>
      <c r="Y183" s="179"/>
      <c r="Z183" s="179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91"/>
      <c r="AL183" s="91"/>
    </row>
    <row r="184" spans="22:38" ht="42" x14ac:dyDescent="0.45">
      <c r="V184" s="179"/>
      <c r="W184" s="179"/>
      <c r="X184" s="179"/>
      <c r="Y184" s="179"/>
      <c r="Z184" s="179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32">
        <f t="shared" ref="AJ184:AL184" si="96">AJ182</f>
        <v>0</v>
      </c>
      <c r="AL184" s="32">
        <f t="shared" si="96"/>
        <v>0</v>
      </c>
    </row>
    <row r="185" spans="22:38" ht="42" x14ac:dyDescent="0.45">
      <c r="V185" s="179"/>
      <c r="W185" s="179"/>
      <c r="X185" s="179"/>
      <c r="Y185" s="179"/>
      <c r="Z185" s="179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32"/>
      <c r="AL185" s="32"/>
    </row>
    <row r="186" spans="22:38" ht="42" x14ac:dyDescent="0.45">
      <c r="V186" s="179"/>
      <c r="W186" s="179"/>
      <c r="X186" s="179"/>
      <c r="Y186" s="179"/>
      <c r="Z186" s="179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32"/>
      <c r="AL186" s="32"/>
    </row>
    <row r="187" spans="22:38" ht="47.25" x14ac:dyDescent="0.45">
      <c r="V187" s="179"/>
      <c r="W187" s="179"/>
      <c r="X187" s="179"/>
      <c r="Y187" s="179"/>
      <c r="Z187" s="179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60"/>
      <c r="AL187" s="60"/>
    </row>
    <row r="188" spans="22:38" ht="42" x14ac:dyDescent="0.45">
      <c r="V188" s="179"/>
      <c r="W188" s="179"/>
      <c r="X188" s="179"/>
      <c r="Y188" s="179"/>
      <c r="Z188" s="179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32"/>
      <c r="AL188" s="32"/>
    </row>
    <row r="189" spans="22:38" ht="42" x14ac:dyDescent="0.45">
      <c r="V189" s="179"/>
      <c r="W189" s="179"/>
      <c r="X189" s="179"/>
      <c r="Y189" s="179"/>
      <c r="Z189" s="179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56">
        <f t="shared" ref="AJ189:AL189" si="97">SUM(AJ188)</f>
        <v>0</v>
      </c>
      <c r="AL189" s="156">
        <f t="shared" si="97"/>
        <v>0</v>
      </c>
    </row>
    <row r="190" spans="22:38" ht="42" x14ac:dyDescent="0.45">
      <c r="V190" s="179"/>
      <c r="W190" s="179"/>
      <c r="X190" s="179"/>
      <c r="Y190" s="179"/>
      <c r="Z190" s="179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91"/>
      <c r="AL190" s="91"/>
    </row>
    <row r="191" spans="22:38" ht="42" x14ac:dyDescent="0.45">
      <c r="V191" s="179"/>
      <c r="W191" s="179"/>
      <c r="X191" s="179"/>
      <c r="Y191" s="179"/>
      <c r="Z191" s="179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32">
        <f t="shared" ref="AJ191:AL191" si="98">AJ189</f>
        <v>0</v>
      </c>
      <c r="AL191" s="32">
        <f t="shared" si="98"/>
        <v>0</v>
      </c>
    </row>
    <row r="192" spans="22:38" ht="42" x14ac:dyDescent="0.45">
      <c r="V192" s="179"/>
      <c r="W192" s="179"/>
      <c r="X192" s="179"/>
      <c r="Y192" s="179"/>
      <c r="Z192" s="179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32"/>
      <c r="AL192" s="32"/>
    </row>
    <row r="193" spans="22:38" ht="42" x14ac:dyDescent="0.45">
      <c r="V193" s="179"/>
      <c r="W193" s="179"/>
      <c r="X193" s="179"/>
      <c r="Y193" s="179"/>
      <c r="Z193" s="179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32"/>
      <c r="AL193" s="32"/>
    </row>
    <row r="194" spans="22:38" ht="47.25" x14ac:dyDescent="0.45">
      <c r="V194" s="179"/>
      <c r="W194" s="179"/>
      <c r="X194" s="179"/>
      <c r="Y194" s="179"/>
      <c r="Z194" s="179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60"/>
      <c r="AL194" s="60"/>
    </row>
    <row r="195" spans="22:38" ht="42" x14ac:dyDescent="0.45">
      <c r="V195" s="179"/>
      <c r="W195" s="179"/>
      <c r="X195" s="179"/>
      <c r="Y195" s="179"/>
      <c r="Z195" s="179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32"/>
      <c r="AL195" s="32"/>
    </row>
    <row r="196" spans="22:38" ht="42" x14ac:dyDescent="0.45">
      <c r="V196" s="179"/>
      <c r="W196" s="179"/>
      <c r="X196" s="179"/>
      <c r="Y196" s="179"/>
      <c r="Z196" s="179"/>
      <c r="AA196" s="180"/>
      <c r="AB196" s="180"/>
      <c r="AC196" s="180"/>
      <c r="AD196" s="180"/>
      <c r="AE196" s="180"/>
      <c r="AF196" s="180"/>
      <c r="AG196" s="180"/>
      <c r="AH196" s="180"/>
      <c r="AI196" s="180"/>
      <c r="AJ196" s="156">
        <f t="shared" ref="AJ196:AL196" si="99">SUM(AJ195)</f>
        <v>0</v>
      </c>
      <c r="AL196" s="156">
        <f t="shared" si="99"/>
        <v>0</v>
      </c>
    </row>
    <row r="197" spans="22:38" ht="42" x14ac:dyDescent="0.45">
      <c r="V197" s="179"/>
      <c r="W197" s="179"/>
      <c r="X197" s="179"/>
      <c r="Y197" s="179"/>
      <c r="Z197" s="179"/>
      <c r="AA197" s="180"/>
      <c r="AB197" s="180"/>
      <c r="AC197" s="180"/>
      <c r="AD197" s="180"/>
      <c r="AE197" s="180"/>
      <c r="AF197" s="180"/>
      <c r="AG197" s="180"/>
      <c r="AH197" s="180"/>
      <c r="AI197" s="180"/>
      <c r="AJ197" s="91"/>
      <c r="AL197" s="91"/>
    </row>
    <row r="198" spans="22:38" ht="42" x14ac:dyDescent="0.45">
      <c r="V198" s="179"/>
      <c r="W198" s="179"/>
      <c r="X198" s="179"/>
      <c r="Y198" s="179"/>
      <c r="Z198" s="179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32">
        <f t="shared" ref="AJ198:AL198" si="100">AJ196</f>
        <v>0</v>
      </c>
      <c r="AL198" s="32">
        <f t="shared" si="100"/>
        <v>0</v>
      </c>
    </row>
    <row r="199" spans="22:38" ht="42" x14ac:dyDescent="0.45">
      <c r="V199" s="179"/>
      <c r="W199" s="179"/>
      <c r="X199" s="179"/>
      <c r="Y199" s="179"/>
      <c r="Z199" s="179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20"/>
      <c r="AL199" s="120"/>
    </row>
    <row r="200" spans="22:38" ht="42" x14ac:dyDescent="0.45">
      <c r="V200" s="179"/>
      <c r="W200" s="179"/>
      <c r="X200" s="179"/>
      <c r="Y200" s="179"/>
      <c r="Z200" s="179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32" t="e">
        <f>AJ198+AJ191+AJ184+AJ177+AJ160+AJ148+#REF!+#REF!+#REF!+AJ137+AJ126+AJ111+#REF!+AJ98+AJ90+AJ77+AJ70+AJ61+#REF!+AJ11+#REF!+#REF!+#REF!+#REF!</f>
        <v>#REF!</v>
      </c>
      <c r="AL200" s="32" t="e">
        <f>AL198+AL191+AL184+AL177+AL160+AL148+#REF!+#REF!+#REF!+AL137+AL126+AL111+#REF!+AL98+AL90+AL77+AL70+AL61+#REF!+AL11+#REF!+#REF!+#REF!+#REF!</f>
        <v>#REF!</v>
      </c>
    </row>
    <row r="201" spans="22:38" ht="42" x14ac:dyDescent="0.45">
      <c r="V201" s="179"/>
      <c r="W201" s="179"/>
      <c r="X201" s="179"/>
      <c r="Y201" s="179"/>
      <c r="Z201" s="179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32"/>
      <c r="AL201" s="32"/>
    </row>
    <row r="202" spans="22:38" ht="34.5" x14ac:dyDescent="0.45">
      <c r="V202" s="179"/>
      <c r="W202" s="179"/>
      <c r="X202" s="179"/>
      <c r="Y202" s="179"/>
      <c r="Z202" s="179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19"/>
      <c r="AL202" s="119"/>
    </row>
    <row r="203" spans="22:38" ht="44.25" x14ac:dyDescent="0.45">
      <c r="V203" s="179"/>
      <c r="W203" s="179"/>
      <c r="X203" s="179"/>
      <c r="Y203" s="179"/>
      <c r="Z203" s="179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23"/>
      <c r="AL203" s="123"/>
    </row>
    <row r="204" spans="22:38" x14ac:dyDescent="0.45">
      <c r="V204" s="179"/>
      <c r="W204" s="179"/>
      <c r="X204" s="179"/>
      <c r="Y204" s="179"/>
      <c r="Z204" s="179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64"/>
      <c r="AL204" s="164"/>
    </row>
    <row r="205" spans="22:38" x14ac:dyDescent="0.45">
      <c r="V205" s="179"/>
      <c r="W205" s="179"/>
      <c r="X205" s="179"/>
      <c r="Y205" s="179"/>
      <c r="Z205" s="179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64"/>
      <c r="AL205" s="164"/>
    </row>
    <row r="206" spans="22:38" x14ac:dyDescent="0.45">
      <c r="V206" s="179"/>
      <c r="W206" s="179"/>
      <c r="X206" s="179"/>
      <c r="Y206" s="179"/>
      <c r="Z206" s="179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64"/>
      <c r="AL206" s="164"/>
    </row>
    <row r="207" spans="22:38" x14ac:dyDescent="0.45">
      <c r="V207" s="179"/>
      <c r="W207" s="179"/>
      <c r="X207" s="179"/>
      <c r="Y207" s="179"/>
      <c r="Z207" s="179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64"/>
      <c r="AL207" s="164"/>
    </row>
    <row r="208" spans="22:38" x14ac:dyDescent="0.45">
      <c r="V208" s="179"/>
      <c r="W208" s="179"/>
      <c r="X208" s="179"/>
      <c r="Y208" s="179"/>
      <c r="Z208" s="179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64"/>
      <c r="AL208" s="164"/>
    </row>
    <row r="209" spans="22:38" x14ac:dyDescent="0.45">
      <c r="V209" s="179"/>
      <c r="W209" s="179"/>
      <c r="X209" s="179"/>
      <c r="Y209" s="179"/>
      <c r="Z209" s="179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64"/>
      <c r="AL209" s="164"/>
    </row>
    <row r="210" spans="22:38" x14ac:dyDescent="0.45">
      <c r="V210" s="179"/>
      <c r="W210" s="179"/>
      <c r="X210" s="179"/>
      <c r="Y210" s="179"/>
      <c r="Z210" s="179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64"/>
      <c r="AL210" s="164"/>
    </row>
    <row r="211" spans="22:38" x14ac:dyDescent="0.45">
      <c r="V211" s="179"/>
      <c r="W211" s="179"/>
      <c r="X211" s="179"/>
      <c r="Y211" s="179"/>
      <c r="Z211" s="179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64"/>
      <c r="AL211" s="164"/>
    </row>
    <row r="212" spans="22:38" x14ac:dyDescent="0.45">
      <c r="V212" s="179"/>
      <c r="W212" s="179"/>
      <c r="X212" s="179"/>
      <c r="Y212" s="179"/>
      <c r="Z212" s="179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64"/>
      <c r="AL212" s="164"/>
    </row>
    <row r="213" spans="22:38" x14ac:dyDescent="0.45">
      <c r="V213" s="179"/>
      <c r="W213" s="179"/>
      <c r="X213" s="179"/>
      <c r="Y213" s="179"/>
      <c r="Z213" s="179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64"/>
      <c r="AL213" s="164"/>
    </row>
    <row r="214" spans="22:38" x14ac:dyDescent="0.45">
      <c r="V214" s="179"/>
      <c r="W214" s="179"/>
      <c r="X214" s="179"/>
      <c r="Y214" s="179"/>
      <c r="Z214" s="179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64"/>
      <c r="AL214" s="164"/>
    </row>
    <row r="215" spans="22:38" x14ac:dyDescent="0.45">
      <c r="V215" s="179"/>
      <c r="W215" s="179"/>
      <c r="X215" s="179"/>
      <c r="Y215" s="179"/>
      <c r="Z215" s="179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64"/>
      <c r="AL215" s="164"/>
    </row>
    <row r="216" spans="22:38" x14ac:dyDescent="0.45">
      <c r="V216" s="179"/>
      <c r="W216" s="179"/>
      <c r="X216" s="179"/>
      <c r="Y216" s="179"/>
      <c r="Z216" s="179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64"/>
      <c r="AL216" s="164"/>
    </row>
    <row r="217" spans="22:38" x14ac:dyDescent="0.45">
      <c r="V217" s="179"/>
      <c r="W217" s="179"/>
      <c r="X217" s="179"/>
      <c r="Y217" s="179"/>
      <c r="Z217" s="179"/>
      <c r="AA217" s="180"/>
      <c r="AB217" s="180"/>
      <c r="AC217" s="180"/>
      <c r="AD217" s="180"/>
      <c r="AE217" s="180"/>
      <c r="AF217" s="180"/>
      <c r="AG217" s="180"/>
      <c r="AH217" s="180"/>
      <c r="AI217" s="180"/>
      <c r="AJ217" s="164"/>
      <c r="AL217" s="164"/>
    </row>
    <row r="218" spans="22:38" x14ac:dyDescent="0.45">
      <c r="V218" s="179"/>
      <c r="W218" s="179"/>
      <c r="X218" s="179"/>
      <c r="Y218" s="179"/>
      <c r="Z218" s="179"/>
      <c r="AA218" s="180"/>
      <c r="AB218" s="180"/>
      <c r="AC218" s="180"/>
      <c r="AD218" s="180"/>
      <c r="AE218" s="180"/>
      <c r="AF218" s="180"/>
      <c r="AG218" s="180"/>
      <c r="AH218" s="180"/>
      <c r="AI218" s="180"/>
      <c r="AJ218" s="164"/>
      <c r="AL218" s="164"/>
    </row>
    <row r="219" spans="22:38" x14ac:dyDescent="0.45">
      <c r="AJ219" s="164"/>
      <c r="AL219" s="164"/>
    </row>
    <row r="220" spans="22:38" x14ac:dyDescent="0.45">
      <c r="AJ220" s="164"/>
      <c r="AL220" s="164"/>
    </row>
    <row r="221" spans="22:38" x14ac:dyDescent="0.45">
      <c r="AJ221" s="164"/>
      <c r="AL221" s="164"/>
    </row>
  </sheetData>
  <sheetProtection algorithmName="SHA-512" hashValue="9UecjUGsA+cCDj5RCvYOn3BJL4889yrBx5IqUJm/Z5AxwcTonfO+o1+3zf/jUYiqlBsBpxCHu21uoJ5wU6JaVw==" saltValue="pSpIevrZC4Es9SwGy+Iw8Q==" spinCount="100000" sheet="1" objects="1" scenarios="1"/>
  <mergeCells count="47">
    <mergeCell ref="Q26:T26"/>
    <mergeCell ref="W5:W6"/>
    <mergeCell ref="X5:X6"/>
    <mergeCell ref="Y5:Y6"/>
    <mergeCell ref="Z5:Z6"/>
    <mergeCell ref="AP4:AP6"/>
    <mergeCell ref="AC5:AF5"/>
    <mergeCell ref="S5:S6"/>
    <mergeCell ref="T5:T6"/>
    <mergeCell ref="U5:U6"/>
    <mergeCell ref="V5:V6"/>
    <mergeCell ref="AM4:AM6"/>
    <mergeCell ref="AN4:AN6"/>
    <mergeCell ref="AO4:AO6"/>
    <mergeCell ref="I5:I6"/>
    <mergeCell ref="J5:J6"/>
    <mergeCell ref="Q5:Q6"/>
    <mergeCell ref="R5:R6"/>
    <mergeCell ref="A4:T4"/>
    <mergeCell ref="S1:AG3"/>
    <mergeCell ref="F1:R3"/>
    <mergeCell ref="AH1:AI1"/>
    <mergeCell ref="AH2:AI2"/>
    <mergeCell ref="AH3:AI3"/>
    <mergeCell ref="Q33:T33"/>
    <mergeCell ref="N5:N6"/>
    <mergeCell ref="AK4:AK6"/>
    <mergeCell ref="AG5:AH5"/>
    <mergeCell ref="AI5:AI6"/>
    <mergeCell ref="V4:Z4"/>
    <mergeCell ref="AA4:AI4"/>
    <mergeCell ref="A58:S58"/>
    <mergeCell ref="M5:M6"/>
    <mergeCell ref="O5:O6"/>
    <mergeCell ref="Q14:T14"/>
    <mergeCell ref="Q40:T40"/>
    <mergeCell ref="A5:A6"/>
    <mergeCell ref="B5:B6"/>
    <mergeCell ref="C5:C6"/>
    <mergeCell ref="D5:D6"/>
    <mergeCell ref="E5:E6"/>
    <mergeCell ref="F5:F6"/>
    <mergeCell ref="Q47:T47"/>
    <mergeCell ref="Q55:T55"/>
    <mergeCell ref="H5:H6"/>
    <mergeCell ref="L5:L6"/>
    <mergeCell ref="G5:G6"/>
  </mergeCells>
  <hyperlinks>
    <hyperlink ref="H9" location="'Red Móvil'!A1" display="Programa de Red Móvíl"/>
    <hyperlink ref="H11" location="IMUVIG!A1" display="Edificación y Ampliación de Vivienda Urbana y Rural"/>
    <hyperlink ref="H10" location="'Mi Casa Diferente'!A1" display="Programa Mi Casa Diferente"/>
    <hyperlink ref="H19" location="'Red Móvil'!A1" display="Programa de Red Móvíl"/>
    <hyperlink ref="H23" location="IMUVIG!A1" display="Edificación y Ampliación de Vivienda Urbana y Rural"/>
    <hyperlink ref="H22" location="'Mi Casa Diferente'!A1" display="Programa Mi Casa Diferente"/>
    <hyperlink ref="H21" location="IMUVIG!A1" display="Edificación y Ampliación de Vivienda Urbana y Rural"/>
    <hyperlink ref="H20" location="'Mi Casa Diferente'!A1" display="Programa Mi Casa Diferente"/>
  </hyperlinks>
  <printOptions horizontalCentered="1"/>
  <pageMargins left="0.70866141732283472" right="0.70866141732283472" top="0.94488188976377963" bottom="0.74803149606299213" header="0" footer="0"/>
  <pageSetup paperSize="17" scale="17" orientation="landscape" r:id="rId1"/>
  <headerFooter>
    <oddFooter>&amp;L&amp;36Elaboró: Dirección General de Obra Pública.&amp;C&amp;36* Este programa esta sujeto a cambios derivados de proyectos ejecutivos, presupuestos y disponibilidad presupuestal ; así como observaciones de instancias revisoras.&amp;R&amp;48 7</oddFooter>
  </headerFooter>
  <colBreaks count="1" manualBreakCount="1">
    <brk id="37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POP_(Obra_Gral.)</vt:lpstr>
      <vt:lpstr>PAS_(Social_Gral.)</vt:lpstr>
      <vt:lpstr>'PAS_(Social_Gral.)'!Área_de_impresión</vt:lpstr>
      <vt:lpstr>'POP_(Obra_Gral.)'!Área_de_impresión</vt:lpstr>
      <vt:lpstr>'PAS_(Social_Gral.)'!Títulos_a_imprimir</vt:lpstr>
      <vt:lpstr>'POP_(Obra_Gral.)'!Títulos_a_imprimir</vt:lpstr>
    </vt:vector>
  </TitlesOfParts>
  <Company>Municipio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General de Oba Publica</dc:creator>
  <cp:lastModifiedBy>Dirección General de Obra Publica</cp:lastModifiedBy>
  <cp:lastPrinted>2018-03-12T23:15:54Z</cp:lastPrinted>
  <dcterms:created xsi:type="dcterms:W3CDTF">2015-05-08T20:59:21Z</dcterms:created>
  <dcterms:modified xsi:type="dcterms:W3CDTF">2018-10-26T20:58:32Z</dcterms:modified>
</cp:coreProperties>
</file>