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1\Documents\FACTURAS ELECTRONICAS\OTROS MAS\2021\12_CP2021 - CP\Digitales\Formatos_2021\"/>
    </mc:Choice>
  </mc:AlternateContent>
  <xr:revisionPtr revIDLastSave="0" documentId="13_ncr:1_{3487A984-97D2-4D81-971A-FDFAB78803A5}" xr6:coauthVersionLast="45" xr6:coauthVersionMax="45" xr10:uidLastSave="{00000000-0000-0000-0000-000000000000}"/>
  <bookViews>
    <workbookView xWindow="-120" yWindow="-120" windowWidth="29040" windowHeight="15840" activeTab="5" xr2:uid="{68100F2E-E7F0-4FC5-84DB-62AC48E65A68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ANIO">#REF!</definedName>
    <definedName name="APP_FIN_04">'Formato 3'!$E$13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0">'Formato 3'!$K$8</definedName>
    <definedName name="APP_T4">'Formato 3'!$E$8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ENTE_PUBLICO_A">#REF!</definedName>
    <definedName name="GASTO_E_FIN_01">'Formato 6b'!$B$28</definedName>
    <definedName name="GASTO_E_FIN_02">'Formato 6b'!$C$28</definedName>
    <definedName name="GASTO_E_FIN_03">'Formato 6b'!$D$28</definedName>
    <definedName name="GASTO_E_FIN_04">'Formato 6b'!$E$28</definedName>
    <definedName name="GASTO_E_FIN_05">'Formato 6b'!$F$28</definedName>
    <definedName name="GASTO_E_FIN_06">'Formato 6b'!$G$28</definedName>
    <definedName name="GASTO_E_T1">'Formato 6b'!$B$19</definedName>
    <definedName name="GASTO_E_T2">'Formato 6b'!$C$19</definedName>
    <definedName name="GASTO_E_T3">'Formato 6b'!$D$19</definedName>
    <definedName name="GASTO_E_T4">'Formato 6b'!$E$19</definedName>
    <definedName name="GASTO_E_T5">'Formato 6b'!$F$19</definedName>
    <definedName name="GASTO_E_T6">'Formato 6b'!$G$19</definedName>
    <definedName name="GASTO_NE_FIN_01">'Formato 6b'!$B$18</definedName>
    <definedName name="GASTO_NE_FIN_02">'Formato 6b'!$C$18</definedName>
    <definedName name="GASTO_NE_FIN_03">'Formato 6b'!$D$18</definedName>
    <definedName name="GASTO_NE_FIN_04">'Formato 6b'!$E$18</definedName>
    <definedName name="GASTO_NE_FIN_05">'Formato 6b'!$F$18</definedName>
    <definedName name="GASTO_NE_FIN_06">'Formato 6b'!$G$18</definedName>
    <definedName name="GASTO_NE_T1">'Formato 6b'!$B$9</definedName>
    <definedName name="GASTO_NE_T2">'Formato 6b'!$C$9</definedName>
    <definedName name="GASTO_NE_T3">'Formato 6b'!$D$9</definedName>
    <definedName name="GASTO_NE_T4">'Formato 6b'!$E$9</definedName>
    <definedName name="GASTO_NE_T5">'Formato 6b'!$F$9</definedName>
    <definedName name="GASTO_NE_T6">'Formato 6b'!$G$9</definedName>
    <definedName name="MONTO1">#REF!</definedName>
    <definedName name="MONTO2">#REF!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TROS_FIN_04">'Formato 3'!$E$19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0">'Formato 3'!$K$14</definedName>
    <definedName name="OTROS_T4">'Formato 3'!$E$14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_INFORME">#REF!</definedName>
    <definedName name="SALDO_PENDIENTE">#REF!</definedName>
    <definedName name="TRIMESTRE">#REF!</definedName>
    <definedName name="ULTIMO">#REF!</definedName>
    <definedName name="ULTIMO_SALDO">#REF!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4" i="6" l="1"/>
  <c r="G115" i="6"/>
  <c r="G116" i="6"/>
  <c r="G117" i="6"/>
  <c r="G118" i="6"/>
  <c r="G119" i="6"/>
  <c r="G120" i="6"/>
  <c r="G121" i="6"/>
  <c r="C53" i="4" l="1"/>
  <c r="D14" i="4"/>
  <c r="D15" i="4"/>
  <c r="D18" i="4"/>
  <c r="C18" i="4"/>
  <c r="C55" i="4" s="1"/>
  <c r="C14" i="4"/>
  <c r="C15" i="4"/>
  <c r="C10" i="4"/>
  <c r="G31" i="9" l="1"/>
  <c r="G30" i="9"/>
  <c r="G29" i="9"/>
  <c r="G28" i="9"/>
  <c r="F28" i="9"/>
  <c r="E28" i="9"/>
  <c r="D28" i="9"/>
  <c r="C28" i="9"/>
  <c r="C21" i="9" s="1"/>
  <c r="B28" i="9"/>
  <c r="G27" i="9"/>
  <c r="G26" i="9"/>
  <c r="G25" i="9"/>
  <c r="G24" i="9" s="1"/>
  <c r="F24" i="9"/>
  <c r="E24" i="9"/>
  <c r="D24" i="9"/>
  <c r="C24" i="9"/>
  <c r="B24" i="9"/>
  <c r="G23" i="9"/>
  <c r="G22" i="9"/>
  <c r="F21" i="9"/>
  <c r="E21" i="9"/>
  <c r="D21" i="9"/>
  <c r="B21" i="9"/>
  <c r="G19" i="9"/>
  <c r="G18" i="9"/>
  <c r="G16" i="9" s="1"/>
  <c r="G17" i="9"/>
  <c r="F16" i="9"/>
  <c r="E16" i="9"/>
  <c r="E9" i="9" s="1"/>
  <c r="D16" i="9"/>
  <c r="C16" i="9"/>
  <c r="B16" i="9"/>
  <c r="G15" i="9"/>
  <c r="G14" i="9"/>
  <c r="G13" i="9"/>
  <c r="G12" i="9" s="1"/>
  <c r="F12" i="9"/>
  <c r="E12" i="9"/>
  <c r="D12" i="9"/>
  <c r="C12" i="9"/>
  <c r="B12" i="9"/>
  <c r="G11" i="9"/>
  <c r="G10" i="9"/>
  <c r="G9" i="9" s="1"/>
  <c r="F9" i="9"/>
  <c r="D9" i="9"/>
  <c r="C9" i="9"/>
  <c r="B9" i="9"/>
  <c r="A5" i="9"/>
  <c r="A2" i="9"/>
  <c r="G75" i="8"/>
  <c r="G74" i="8"/>
  <c r="G73" i="8"/>
  <c r="G71" i="8" s="1"/>
  <c r="G72" i="8"/>
  <c r="F71" i="8"/>
  <c r="E71" i="8"/>
  <c r="D71" i="8"/>
  <c r="C71" i="8"/>
  <c r="B71" i="8"/>
  <c r="G70" i="8"/>
  <c r="G69" i="8"/>
  <c r="G68" i="8"/>
  <c r="G67" i="8"/>
  <c r="G66" i="8"/>
  <c r="G65" i="8"/>
  <c r="G64" i="8"/>
  <c r="G63" i="8"/>
  <c r="G62" i="8"/>
  <c r="G61" i="8" s="1"/>
  <c r="F61" i="8"/>
  <c r="E61" i="8"/>
  <c r="E43" i="8" s="1"/>
  <c r="E77" i="8" s="1"/>
  <c r="D61" i="8"/>
  <c r="C61" i="8"/>
  <c r="B61" i="8"/>
  <c r="G60" i="8"/>
  <c r="G59" i="8"/>
  <c r="G58" i="8"/>
  <c r="G57" i="8"/>
  <c r="G56" i="8"/>
  <c r="G55" i="8"/>
  <c r="G54" i="8"/>
  <c r="G53" i="8" s="1"/>
  <c r="F53" i="8"/>
  <c r="E53" i="8"/>
  <c r="D53" i="8"/>
  <c r="C53" i="8"/>
  <c r="B53" i="8"/>
  <c r="G52" i="8"/>
  <c r="G51" i="8"/>
  <c r="G50" i="8"/>
  <c r="G49" i="8"/>
  <c r="G48" i="8"/>
  <c r="G47" i="8"/>
  <c r="G46" i="8"/>
  <c r="G45" i="8"/>
  <c r="G44" i="8" s="1"/>
  <c r="G43" i="8" s="1"/>
  <c r="F44" i="8"/>
  <c r="E44" i="8"/>
  <c r="D44" i="8"/>
  <c r="D43" i="8" s="1"/>
  <c r="D77" i="8" s="1"/>
  <c r="C44" i="8"/>
  <c r="B44" i="8"/>
  <c r="F43" i="8"/>
  <c r="C43" i="8"/>
  <c r="B43" i="8"/>
  <c r="G41" i="8"/>
  <c r="G40" i="8"/>
  <c r="G39" i="8"/>
  <c r="G38" i="8"/>
  <c r="G37" i="8" s="1"/>
  <c r="F37" i="8"/>
  <c r="E37" i="8"/>
  <c r="D37" i="8"/>
  <c r="C37" i="8"/>
  <c r="B37" i="8"/>
  <c r="G36" i="8"/>
  <c r="G35" i="8"/>
  <c r="G34" i="8"/>
  <c r="G33" i="8"/>
  <c r="G32" i="8"/>
  <c r="G31" i="8"/>
  <c r="G30" i="8"/>
  <c r="G29" i="8"/>
  <c r="G28" i="8"/>
  <c r="G27" i="8"/>
  <c r="F27" i="8"/>
  <c r="E27" i="8"/>
  <c r="D27" i="8"/>
  <c r="C27" i="8"/>
  <c r="C9" i="8" s="1"/>
  <c r="B27" i="8"/>
  <c r="G26" i="8"/>
  <c r="G25" i="8"/>
  <c r="G24" i="8"/>
  <c r="G23" i="8"/>
  <c r="G22" i="8"/>
  <c r="F21" i="8"/>
  <c r="F19" i="8" s="1"/>
  <c r="E21" i="8"/>
  <c r="D21" i="8"/>
  <c r="G21" i="8" s="1"/>
  <c r="C21" i="8"/>
  <c r="G20" i="8"/>
  <c r="E19" i="8"/>
  <c r="D19" i="8"/>
  <c r="C19" i="8"/>
  <c r="B19" i="8"/>
  <c r="G18" i="8"/>
  <c r="G17" i="8"/>
  <c r="G16" i="8"/>
  <c r="G15" i="8"/>
  <c r="G14" i="8"/>
  <c r="G13" i="8"/>
  <c r="G12" i="8"/>
  <c r="G11" i="8"/>
  <c r="G10" i="8" s="1"/>
  <c r="F10" i="8"/>
  <c r="F9" i="8" s="1"/>
  <c r="E10" i="8"/>
  <c r="D10" i="8"/>
  <c r="C10" i="8"/>
  <c r="B10" i="8"/>
  <c r="B9" i="8" s="1"/>
  <c r="E9" i="8"/>
  <c r="D9" i="8"/>
  <c r="A5" i="8"/>
  <c r="A2" i="8"/>
  <c r="G27" i="7"/>
  <c r="G26" i="7"/>
  <c r="G25" i="7"/>
  <c r="G24" i="7"/>
  <c r="G23" i="7"/>
  <c r="G22" i="7"/>
  <c r="G21" i="7"/>
  <c r="G20" i="7"/>
  <c r="F19" i="7"/>
  <c r="E19" i="7"/>
  <c r="D19" i="7"/>
  <c r="C19" i="7"/>
  <c r="B19" i="7"/>
  <c r="F15" i="7"/>
  <c r="F9" i="7" s="1"/>
  <c r="E15" i="7"/>
  <c r="E9" i="7" s="1"/>
  <c r="D15" i="7"/>
  <c r="D9" i="7" s="1"/>
  <c r="C15" i="7"/>
  <c r="C9" i="7" s="1"/>
  <c r="G9" i="7"/>
  <c r="B9" i="7"/>
  <c r="G157" i="6"/>
  <c r="G156" i="6"/>
  <c r="G155" i="6"/>
  <c r="G154" i="6"/>
  <c r="G153" i="6"/>
  <c r="G152" i="6"/>
  <c r="G150" i="6" s="1"/>
  <c r="G151" i="6"/>
  <c r="F150" i="6"/>
  <c r="E150" i="6"/>
  <c r="D150" i="6"/>
  <c r="C150" i="6"/>
  <c r="B150" i="6"/>
  <c r="G149" i="6"/>
  <c r="G148" i="6"/>
  <c r="G147" i="6"/>
  <c r="G146" i="6" s="1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 s="1"/>
  <c r="F137" i="6"/>
  <c r="E137" i="6"/>
  <c r="D137" i="6"/>
  <c r="C137" i="6"/>
  <c r="B137" i="6"/>
  <c r="G136" i="6"/>
  <c r="G133" i="6"/>
  <c r="C133" i="6"/>
  <c r="G134" i="6"/>
  <c r="F133" i="6"/>
  <c r="E133" i="6"/>
  <c r="D133" i="6"/>
  <c r="B133" i="6"/>
  <c r="G123" i="6"/>
  <c r="F123" i="6"/>
  <c r="E123" i="6"/>
  <c r="D123" i="6"/>
  <c r="D84" i="6" s="1"/>
  <c r="D58" i="6" s="1"/>
  <c r="C123" i="6"/>
  <c r="B123" i="6"/>
  <c r="G122" i="6"/>
  <c r="G113" i="6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 s="1"/>
  <c r="F103" i="6"/>
  <c r="E103" i="6"/>
  <c r="D103" i="6"/>
  <c r="C103" i="6"/>
  <c r="B103" i="6"/>
  <c r="G93" i="6"/>
  <c r="F93" i="6"/>
  <c r="E93" i="6"/>
  <c r="E84" i="6" s="1"/>
  <c r="E58" i="6" s="1"/>
  <c r="D93" i="6"/>
  <c r="C93" i="6"/>
  <c r="B93" i="6"/>
  <c r="G92" i="6"/>
  <c r="G91" i="6"/>
  <c r="G90" i="6"/>
  <c r="G89" i="6"/>
  <c r="G88" i="6"/>
  <c r="G85" i="6" s="1"/>
  <c r="G87" i="6"/>
  <c r="G86" i="6"/>
  <c r="F85" i="6"/>
  <c r="F84" i="6" s="1"/>
  <c r="F58" i="6" s="1"/>
  <c r="E85" i="6"/>
  <c r="D85" i="6"/>
  <c r="C85" i="6"/>
  <c r="B85" i="6"/>
  <c r="G75" i="6"/>
  <c r="F75" i="6"/>
  <c r="E75" i="6"/>
  <c r="D75" i="6"/>
  <c r="C75" i="6"/>
  <c r="B75" i="6"/>
  <c r="G62" i="6"/>
  <c r="F62" i="6"/>
  <c r="E62" i="6"/>
  <c r="D62" i="6"/>
  <c r="C62" i="6"/>
  <c r="B62" i="6"/>
  <c r="G58" i="6"/>
  <c r="B58" i="6"/>
  <c r="G48" i="6"/>
  <c r="F48" i="6"/>
  <c r="E48" i="6"/>
  <c r="D48" i="6"/>
  <c r="C48" i="6"/>
  <c r="B48" i="6"/>
  <c r="G47" i="6"/>
  <c r="G46" i="6"/>
  <c r="G45" i="6"/>
  <c r="G44" i="6"/>
  <c r="G43" i="6"/>
  <c r="G41" i="6"/>
  <c r="G40" i="6"/>
  <c r="G39" i="6"/>
  <c r="G38" i="6" s="1"/>
  <c r="F38" i="6"/>
  <c r="E38" i="6"/>
  <c r="D38" i="6"/>
  <c r="C38" i="6"/>
  <c r="B38" i="6"/>
  <c r="G28" i="6"/>
  <c r="F28" i="6"/>
  <c r="E28" i="6"/>
  <c r="D28" i="6"/>
  <c r="C28" i="6"/>
  <c r="B28" i="6"/>
  <c r="G18" i="6"/>
  <c r="F18" i="6"/>
  <c r="E18" i="6"/>
  <c r="D18" i="6"/>
  <c r="C18" i="6"/>
  <c r="B18" i="6"/>
  <c r="G17" i="6"/>
  <c r="G16" i="6"/>
  <c r="A5" i="6"/>
  <c r="A2" i="6"/>
  <c r="F75" i="5"/>
  <c r="E75" i="5"/>
  <c r="D75" i="5"/>
  <c r="C75" i="5"/>
  <c r="B75" i="5"/>
  <c r="G74" i="5"/>
  <c r="G73" i="5"/>
  <c r="G75" i="5" s="1"/>
  <c r="G68" i="5"/>
  <c r="G67" i="5"/>
  <c r="F67" i="5"/>
  <c r="E67" i="5"/>
  <c r="D67" i="5"/>
  <c r="C67" i="5"/>
  <c r="B67" i="5"/>
  <c r="G63" i="5"/>
  <c r="G62" i="5"/>
  <c r="G61" i="5"/>
  <c r="G60" i="5"/>
  <c r="G59" i="5"/>
  <c r="F59" i="5"/>
  <c r="E59" i="5"/>
  <c r="D59" i="5"/>
  <c r="C59" i="5"/>
  <c r="B59" i="5"/>
  <c r="G58" i="5"/>
  <c r="G57" i="5"/>
  <c r="G56" i="5"/>
  <c r="G54" i="5" s="1"/>
  <c r="G55" i="5"/>
  <c r="F54" i="5"/>
  <c r="E54" i="5"/>
  <c r="E65" i="5" s="1"/>
  <c r="D54" i="5"/>
  <c r="C54" i="5"/>
  <c r="B54" i="5"/>
  <c r="G53" i="5"/>
  <c r="G52" i="5"/>
  <c r="G51" i="5"/>
  <c r="G50" i="5"/>
  <c r="G49" i="5"/>
  <c r="G45" i="5" s="1"/>
  <c r="G48" i="5"/>
  <c r="G47" i="5"/>
  <c r="G46" i="5"/>
  <c r="F45" i="5"/>
  <c r="F65" i="5" s="1"/>
  <c r="E45" i="5"/>
  <c r="D45" i="5"/>
  <c r="D65" i="5" s="1"/>
  <c r="C45" i="5"/>
  <c r="C65" i="5" s="1"/>
  <c r="B45" i="5"/>
  <c r="B65" i="5" s="1"/>
  <c r="F41" i="5"/>
  <c r="F70" i="5" s="1"/>
  <c r="B41" i="5"/>
  <c r="G39" i="5"/>
  <c r="G38" i="5"/>
  <c r="G37" i="5"/>
  <c r="F37" i="5"/>
  <c r="E37" i="5"/>
  <c r="D37" i="5"/>
  <c r="C37" i="5"/>
  <c r="B37" i="5"/>
  <c r="G36" i="5"/>
  <c r="G35" i="5" s="1"/>
  <c r="F35" i="5"/>
  <c r="E35" i="5"/>
  <c r="D35" i="5"/>
  <c r="C35" i="5"/>
  <c r="B35" i="5"/>
  <c r="G34" i="5"/>
  <c r="G33" i="5"/>
  <c r="G32" i="5"/>
  <c r="G31" i="5"/>
  <c r="G30" i="5"/>
  <c r="G29" i="5"/>
  <c r="G28" i="5" s="1"/>
  <c r="G27" i="5"/>
  <c r="G26" i="5"/>
  <c r="G25" i="5"/>
  <c r="G24" i="5"/>
  <c r="G23" i="5"/>
  <c r="G22" i="5"/>
  <c r="G21" i="5"/>
  <c r="G20" i="5"/>
  <c r="G19" i="5"/>
  <c r="G18" i="5"/>
  <c r="G17" i="5"/>
  <c r="G16" i="5" s="1"/>
  <c r="F16" i="5"/>
  <c r="E16" i="5"/>
  <c r="E41" i="5" s="1"/>
  <c r="E70" i="5" s="1"/>
  <c r="D16" i="5"/>
  <c r="D41" i="5" s="1"/>
  <c r="D70" i="5" s="1"/>
  <c r="C16" i="5"/>
  <c r="C41" i="5" s="1"/>
  <c r="C70" i="5" s="1"/>
  <c r="B16" i="5"/>
  <c r="G15" i="5"/>
  <c r="G14" i="5"/>
  <c r="G13" i="5"/>
  <c r="G12" i="5"/>
  <c r="G11" i="5"/>
  <c r="G10" i="5"/>
  <c r="G9" i="5"/>
  <c r="G41" i="5" s="1"/>
  <c r="A4" i="5"/>
  <c r="A2" i="5"/>
  <c r="D70" i="4"/>
  <c r="C70" i="4"/>
  <c r="B70" i="4"/>
  <c r="D68" i="4"/>
  <c r="C68" i="4"/>
  <c r="B68" i="4"/>
  <c r="D64" i="4"/>
  <c r="C64" i="4"/>
  <c r="B64" i="4"/>
  <c r="D63" i="4"/>
  <c r="C63" i="4"/>
  <c r="B63" i="4"/>
  <c r="B72" i="4" s="1"/>
  <c r="B74" i="4" s="1"/>
  <c r="D55" i="4"/>
  <c r="B55" i="4"/>
  <c r="D53" i="4"/>
  <c r="B53" i="4"/>
  <c r="D49" i="4"/>
  <c r="C49" i="4"/>
  <c r="B49" i="4"/>
  <c r="D48" i="4"/>
  <c r="C48" i="4"/>
  <c r="B48" i="4"/>
  <c r="B57" i="4" s="1"/>
  <c r="B59" i="4" s="1"/>
  <c r="D40" i="4"/>
  <c r="C40" i="4"/>
  <c r="B40" i="4"/>
  <c r="D37" i="4"/>
  <c r="D44" i="4" s="1"/>
  <c r="D8" i="4" s="1"/>
  <c r="C37" i="4"/>
  <c r="C44" i="4" s="1"/>
  <c r="C8" i="4" s="1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B17" i="4"/>
  <c r="D13" i="4"/>
  <c r="C13" i="4"/>
  <c r="B13" i="4"/>
  <c r="A4" i="4"/>
  <c r="A2" i="4"/>
  <c r="K18" i="3"/>
  <c r="K17" i="3"/>
  <c r="K14" i="3" s="1"/>
  <c r="K16" i="3"/>
  <c r="K15" i="3"/>
  <c r="J14" i="3"/>
  <c r="I14" i="3"/>
  <c r="H14" i="3"/>
  <c r="G14" i="3"/>
  <c r="E14" i="3"/>
  <c r="K12" i="3"/>
  <c r="K11" i="3"/>
  <c r="K10" i="3"/>
  <c r="K9" i="3"/>
  <c r="K8" i="3" s="1"/>
  <c r="J8" i="3"/>
  <c r="I8" i="3"/>
  <c r="H8" i="3"/>
  <c r="H20" i="3" s="1"/>
  <c r="G8" i="3"/>
  <c r="E8" i="3"/>
  <c r="K6" i="3"/>
  <c r="J6" i="3"/>
  <c r="I6" i="3"/>
  <c r="A4" i="3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G8" i="2" s="1"/>
  <c r="G20" i="2" s="1"/>
  <c r="F13" i="2"/>
  <c r="E13" i="2"/>
  <c r="D13" i="2"/>
  <c r="C13" i="2"/>
  <c r="C8" i="2" s="1"/>
  <c r="C20" i="2" s="1"/>
  <c r="B13" i="2"/>
  <c r="H9" i="2"/>
  <c r="H8" i="2" s="1"/>
  <c r="H20" i="2" s="1"/>
  <c r="G9" i="2"/>
  <c r="F9" i="2"/>
  <c r="F8" i="2" s="1"/>
  <c r="F20" i="2" s="1"/>
  <c r="E9" i="2"/>
  <c r="D9" i="2"/>
  <c r="D8" i="2" s="1"/>
  <c r="D20" i="2" s="1"/>
  <c r="C9" i="2"/>
  <c r="B9" i="2"/>
  <c r="B8" i="2" s="1"/>
  <c r="B20" i="2" s="1"/>
  <c r="E8" i="2"/>
  <c r="E20" i="2" s="1"/>
  <c r="B6" i="2"/>
  <c r="A4" i="2"/>
  <c r="A2" i="2"/>
  <c r="F75" i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C9" i="1"/>
  <c r="B9" i="1"/>
  <c r="F6" i="1"/>
  <c r="E6" i="1"/>
  <c r="C6" i="1"/>
  <c r="B6" i="1"/>
  <c r="A4" i="1"/>
  <c r="A2" i="1"/>
  <c r="G20" i="3" l="1"/>
  <c r="G19" i="7"/>
  <c r="G29" i="7" s="1"/>
  <c r="C29" i="7"/>
  <c r="B84" i="6"/>
  <c r="C84" i="6"/>
  <c r="C58" i="6" s="1"/>
  <c r="B9" i="6"/>
  <c r="B159" i="6" s="1"/>
  <c r="F9" i="6"/>
  <c r="F159" i="6" s="1"/>
  <c r="C9" i="6"/>
  <c r="C159" i="6" s="1"/>
  <c r="G9" i="6"/>
  <c r="E9" i="6"/>
  <c r="E159" i="6" s="1"/>
  <c r="D29" i="7"/>
  <c r="F29" i="7"/>
  <c r="I20" i="3"/>
  <c r="B29" i="7"/>
  <c r="K20" i="3"/>
  <c r="D72" i="4"/>
  <c r="D74" i="4" s="1"/>
  <c r="D57" i="4"/>
  <c r="D59" i="4" s="1"/>
  <c r="D21" i="4"/>
  <c r="D23" i="4" s="1"/>
  <c r="D25" i="4" s="1"/>
  <c r="D33" i="4" s="1"/>
  <c r="C21" i="4"/>
  <c r="C23" i="4" s="1"/>
  <c r="C25" i="4" s="1"/>
  <c r="C57" i="4"/>
  <c r="C59" i="4" s="1"/>
  <c r="C72" i="4"/>
  <c r="C74" i="4" s="1"/>
  <c r="E20" i="3"/>
  <c r="J20" i="3"/>
  <c r="E29" i="7"/>
  <c r="B47" i="1"/>
  <c r="B62" i="1" s="1"/>
  <c r="E47" i="1"/>
  <c r="E59" i="1" s="1"/>
  <c r="E79" i="1"/>
  <c r="C47" i="1"/>
  <c r="C62" i="1" s="1"/>
  <c r="G21" i="9"/>
  <c r="B77" i="8"/>
  <c r="C77" i="8"/>
  <c r="G9" i="8"/>
  <c r="G77" i="8" s="1"/>
  <c r="G19" i="8"/>
  <c r="F77" i="8"/>
  <c r="D9" i="6"/>
  <c r="D159" i="6" s="1"/>
  <c r="G84" i="6"/>
  <c r="B70" i="5"/>
  <c r="G42" i="5"/>
  <c r="G65" i="5"/>
  <c r="G70" i="5" s="1"/>
  <c r="G159" i="6" l="1"/>
  <c r="C33" i="4"/>
  <c r="E81" i="1"/>
</calcChain>
</file>

<file path=xl/sharedStrings.xml><?xml version="1.0" encoding="utf-8"?>
<sst xmlns="http://schemas.openxmlformats.org/spreadsheetml/2006/main" count="642" uniqueCount="452">
  <si>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</si>
  <si>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</si>
  <si>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</si>
  <si>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</si>
  <si>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</si>
  <si>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</si>
  <si>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</si>
  <si>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</si>
  <si>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</si>
  <si>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</si>
  <si>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</si>
  <si>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</si>
  <si>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</si>
  <si>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</si>
  <si>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</si>
  <si>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</si>
  <si>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/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</si>
  <si>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</si>
  <si>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</si>
  <si>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</si>
  <si>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</si>
  <si>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</si>
  <si>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</si>
  <si>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</si>
  <si>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</si>
  <si>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</si>
  <si>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</si>
  <si>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</si>
  <si>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</si>
  <si>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</si>
  <si>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</si>
  <si>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</si>
  <si>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</si>
  <si>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</si>
  <si>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</si>
  <si>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</si>
  <si>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</si>
  <si>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</si>
  <si>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</si>
  <si>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</si>
  <si>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</si>
  <si>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</si>
  <si>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</si>
  <si>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</si>
  <si>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</si>
  <si>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</si>
  <si>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</si>
  <si>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</si>
  <si>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</si>
  <si>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</si>
  <si>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</si>
  <si>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</si>
  <si>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</si>
  <si>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</si>
  <si>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</si>
  <si>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</si>
  <si>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</si>
  <si>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</si>
  <si>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</si>
  <si>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</si>
  <si>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</si>
  <si>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</si>
  <si>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</si>
  <si>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</si>
  <si>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</si>
  <si>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</si>
  <si>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</si>
  <si>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</si>
  <si>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</si>
  <si>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</si>
  <si>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</si>
  <si>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</si>
  <si>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</si>
  <si>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</si>
  <si>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</si>
  <si>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</si>
  <si>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</si>
  <si>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</si>
  <si>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</si>
  <si>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</si>
  <si>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</si>
  <si>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</si>
  <si>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</si>
  <si>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</si>
  <si>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</si>
  <si>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</si>
  <si>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</si>
  <si>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</si>
  <si>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</si>
  <si>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</si>
  <si>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</si>
  <si>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</si>
  <si>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</si>
  <si>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</si>
  <si>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</si>
  <si>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</si>
  <si>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</si>
  <si>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</si>
  <si>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</si>
  <si>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</si>
  <si>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</si>
  <si>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</si>
  <si>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</si>
  <si>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</si>
  <si>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</si>
  <si>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</si>
  <si>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</si>
  <si>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</si>
  <si>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</si>
  <si>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</si>
  <si>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</si>
  <si>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</si>
  <si>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</si>
  <si>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</si>
  <si>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</si>
  <si>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</si>
  <si>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</si>
  <si>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</si>
  <si>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</si>
  <si>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</si>
  <si>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</si>
  <si>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</si>
  <si>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</si>
  <si>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</si>
  <si>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</si>
  <si>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</si>
  <si>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</si>
  <si>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</si>
  <si>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</si>
  <si>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</si>
  <si>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</si>
  <si>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</si>
  <si>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</si>
  <si>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</si>
  <si>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</si>
  <si>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</si>
  <si>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</si>
  <si>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</si>
  <si>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</si>
  <si>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</si>
  <si>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</si>
  <si>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</si>
  <si>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</si>
  <si>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</si>
  <si>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</si>
  <si>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</si>
  <si>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</si>
  <si>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</si>
  <si>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</si>
  <si>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</si>
  <si>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</si>
  <si>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</si>
  <si>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</si>
  <si>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</si>
  <si>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</si>
  <si>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</si>
  <si>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</si>
  <si>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</si>
  <si>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</si>
  <si>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</si>
  <si>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</si>
  <si>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</si>
  <si>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</si>
  <si>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</si>
  <si>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</si>
  <si>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</si>
  <si>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</si>
  <si>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</si>
  <si>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</si>
  <si>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</si>
  <si>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</si>
  <si>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</si>
  <si>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</si>
  <si>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</si>
  <si>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</si>
  <si>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</si>
  <si>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</si>
  <si>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</si>
  <si>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</si>
  <si>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</si>
  <si>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</si>
  <si>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</si>
  <si>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</si>
  <si>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</si>
  <si>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</si>
  <si>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</si>
  <si>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</si>
  <si>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</si>
  <si>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</si>
  <si>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</si>
  <si>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</si>
  <si>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</si>
  <si>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</si>
  <si>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</si>
  <si>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</si>
  <si>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</si>
  <si>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</si>
  <si>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</si>
  <si>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</si>
  <si>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</si>
  <si>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</si>
  <si>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</si>
  <si>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</si>
  <si>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</si>
  <si>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</si>
  <si>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</si>
  <si>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</si>
  <si>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</si>
  <si>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</si>
  <si>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</si>
  <si>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</si>
  <si>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</si>
  <si>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</si>
  <si>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</si>
  <si>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</si>
  <si>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</si>
  <si>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</si>
  <si>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</si>
  <si>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</si>
  <si>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</si>
  <si>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</si>
  <si>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</si>
  <si>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</si>
  <si>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</si>
  <si>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</si>
  <si>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</si>
  <si>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</si>
  <si>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</si>
  <si>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</si>
  <si>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</si>
  <si>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</si>
  <si>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</si>
  <si>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</si>
  <si>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</si>
  <si>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</si>
  <si>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</si>
  <si>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</si>
  <si>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</si>
  <si>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</si>
  <si>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</si>
  <si>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</si>
  <si>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</si>
  <si>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</si>
  <si>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</si>
  <si>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</si>
  <si>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</si>
  <si>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</si>
  <si>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</si>
  <si>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</si>
  <si>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</si>
  <si>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</si>
  <si>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</si>
  <si>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</si>
  <si>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</si>
  <si>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</si>
  <si>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</si>
  <si>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</si>
  <si>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</si>
  <si>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</si>
  <si>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</si>
  <si>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</si>
  <si>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</si>
  <si>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</si>
  <si>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</si>
  <si>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</si>
  <si>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</si>
  <si>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</si>
  <si>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</si>
  <si>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</si>
  <si>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</si>
  <si>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</si>
  <si>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</si>
  <si>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</si>
  <si>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</si>
  <si>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</si>
  <si>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</si>
  <si>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</si>
  <si>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</si>
  <si>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</si>
  <si>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</si>
  <si>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</si>
  <si>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</si>
  <si>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</si>
  <si>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</si>
  <si>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</si>
  <si>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</si>
  <si>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</si>
  <si>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</si>
  <si>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</si>
  <si>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</si>
  <si>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</si>
  <si>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</si>
  <si>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</si>
  <si>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</si>
  <si>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</si>
  <si>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</si>
  <si>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</si>
  <si>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</si>
  <si>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</si>
  <si>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</si>
  <si>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</si>
  <si>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</si>
  <si>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</si>
  <si>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</si>
  <si>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</si>
  <si>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</si>
  <si>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</si>
  <si>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</si>
  <si>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</si>
  <si>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</si>
  <si>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</si>
  <si>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</si>
  <si>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</si>
  <si>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</si>
  <si>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</si>
  <si>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</si>
  <si>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</si>
  <si>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</si>
  <si>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</si>
  <si>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</si>
  <si>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</si>
  <si>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</si>
  <si>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</si>
  <si>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</si>
  <si>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</si>
  <si>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</si>
  <si>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</si>
  <si>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</si>
  <si>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</si>
  <si>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</si>
  <si>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</si>
  <si>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</si>
  <si>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</si>
  <si>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</si>
  <si>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</si>
  <si>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</si>
  <si>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</si>
  <si>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</si>
  <si>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</si>
  <si>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</si>
  <si>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</si>
  <si>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</si>
  <si>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</si>
  <si>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</si>
  <si>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</si>
  <si>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</si>
  <si>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</si>
  <si>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</si>
  <si>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</si>
  <si>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</si>
  <si>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</si>
  <si>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</si>
  <si>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</si>
  <si>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</si>
  <si>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</si>
  <si>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</si>
  <si>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</si>
  <si>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</si>
  <si>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</si>
  <si>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</si>
  <si>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</si>
  <si>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</si>
  <si>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</si>
  <si>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</si>
  <si>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</si>
  <si>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</si>
  <si>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</si>
  <si>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</si>
  <si>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</si>
  <si>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</si>
  <si>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</si>
  <si>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</si>
  <si>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</si>
  <si>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</si>
  <si>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</si>
  <si>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</si>
  <si>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</si>
  <si>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</si>
  <si>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</si>
  <si>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</si>
  <si>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</si>
  <si>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</si>
  <si>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</si>
  <si>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</si>
  <si>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CONSEJO DIRECTIVO</t>
  </si>
  <si>
    <t>DIRECCIÓN GENERAL</t>
  </si>
  <si>
    <t>DIRECCIÓN DE ADMINISTRACIÓN Y FINANZAS</t>
  </si>
  <si>
    <t>DIRECCIÓN DE ASUNTOS JURIDICOS</t>
  </si>
  <si>
    <t>DIRECCIÓN COMERCIAL</t>
  </si>
  <si>
    <t>DIRECCIÓN DE PLANEACIÓN Y PROGRAMACIÓN</t>
  </si>
  <si>
    <t>DIRECCIÓN DE OPERACIÓN HIDRAULICA</t>
  </si>
  <si>
    <t>DIRECCIÓN DE ATENCIÓN AL MEDIO RURAL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</si>
  <si>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</si>
  <si>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</si>
  <si>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</si>
  <si>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</si>
  <si>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</si>
  <si>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</si>
  <si>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</si>
  <si>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</si>
  <si>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</si>
  <si>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</si>
  <si>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</si>
  <si>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</si>
  <si>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</si>
  <si>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</si>
  <si>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</si>
  <si>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</si>
  <si>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</si>
  <si>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</si>
  <si>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</si>
  <si>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</si>
  <si>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</si>
  <si>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</si>
  <si>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</si>
  <si>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</si>
  <si>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</si>
  <si>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</si>
  <si>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</si>
  <si>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</si>
  <si>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</si>
  <si>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</si>
  <si>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</si>
  <si>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</si>
  <si>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</si>
  <si>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</si>
  <si>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</si>
  <si>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</si>
  <si>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</si>
  <si>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</si>
  <si>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</si>
  <si>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</si>
  <si>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</si>
  <si>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</si>
  <si>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</si>
  <si>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</si>
  <si>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</si>
  <si>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</si>
  <si>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</si>
  <si>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</si>
  <si>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</si>
  <si>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</si>
  <si>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</si>
  <si>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</si>
  <si>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</si>
  <si>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</si>
  <si>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</si>
  <si>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</si>
  <si>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</si>
  <si>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6 c) Estado Analítico del Ejercicio del Presupuesto de Egresos Detallado -LDF 
                       (Clasificación Funcional)</t>
  </si>
  <si>
    <t>SISTEMA MUNICIPAL DE AGUA POTABLE Y ALCANTARILLADO DE GUANAJUATO, Gobierno del Estado de Guanajuato (a)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</si>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</sst>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1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4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0" fontId="0" fillId="0" borderId="12" xfId="0" applyBorder="1" applyAlignment="1" applyProtection="1">
      <alignment horizontal="left" vertical="center" indent="4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Border="1" applyProtection="1"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Protection="1">
      <protection locked="0"/>
    </xf>
    <xf numFmtId="0" fontId="9" fillId="2" borderId="14" xfId="0" applyFont="1" applyFill="1" applyBorder="1"/>
    <xf numFmtId="0" fontId="10" fillId="2" borderId="14" xfId="0" applyFont="1" applyFill="1" applyBorder="1"/>
    <xf numFmtId="0" fontId="11" fillId="0" borderId="12" xfId="0" applyFont="1" applyBorder="1" applyProtection="1">
      <protection locked="0"/>
    </xf>
    <xf numFmtId="0" fontId="1" fillId="0" borderId="12" xfId="0" applyFont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indent="3"/>
    </xf>
    <xf numFmtId="0" fontId="0" fillId="0" borderId="15" xfId="0" applyBorder="1" applyAlignment="1">
      <alignment horizontal="left" vertical="center" indent="6"/>
    </xf>
    <xf numFmtId="0" fontId="0" fillId="0" borderId="15" xfId="0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0" fontId="10" fillId="2" borderId="14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5" xfId="0" applyBorder="1" applyProtection="1"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0" fontId="12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3" borderId="15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1" fillId="0" borderId="15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/>
    <xf numFmtId="0" fontId="1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1" fillId="0" borderId="12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5454-4C3F-4F95-9043-9895F4CE3319}">
  <dimension ref="A1:F82"/>
  <sheetViews>
    <sheetView zoomScale="70" zoomScaleNormal="70" workbookViewId="0">
      <selection activeCell="F25" sqref="F25"/>
    </sheetView>
  </sheetViews>
  <sheetFormatPr baseColWidth="10" defaultColWidth="0" defaultRowHeight="15" x14ac:dyDescent="0.25"/>
  <cols>
    <col min="1" max="1" width="90.5703125" style="22" bestFit="1" customWidth="1"/>
    <col min="2" max="3" width="20" customWidth="1"/>
    <col min="4" max="4" width="92.140625" style="22" bestFit="1" customWidth="1"/>
    <col min="5" max="6" width="20" customWidth="1"/>
    <col min="7" max="16384" width="10.7109375" hidden="1"/>
  </cols>
  <sheetData>
    <row r="1" spans="1:6" s="1" customFormat="1" ht="21" x14ac:dyDescent="0.25">
      <c r="A1" s="98" t="s">
        <v>0</v>
      </c>
      <c r="B1" s="98"/>
      <c r="C1" s="98"/>
      <c r="D1" s="98"/>
      <c r="E1" s="98"/>
      <c r="F1" s="98"/>
    </row>
    <row r="2" spans="1:6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0"/>
      <c r="E2" s="100"/>
      <c r="F2" s="101"/>
    </row>
    <row r="3" spans="1:6" x14ac:dyDescent="0.25">
      <c r="A3" s="102" t="s">
        <v>1</v>
      </c>
      <c r="B3" s="103"/>
      <c r="C3" s="103"/>
      <c r="D3" s="103"/>
      <c r="E3" s="103"/>
      <c r="F3" s="104"/>
    </row>
    <row r="4" spans="1:6" x14ac:dyDescent="0.25">
      <c r="A4" s="102" t="str">
        <f>PERIODO_INFORME</f>
        <v>Al 31 de diciembre de 2020 y al 31 de diciembre de 2021 (b)</v>
      </c>
      <c r="B4" s="103"/>
      <c r="C4" s="103"/>
      <c r="D4" s="103"/>
      <c r="E4" s="103"/>
      <c r="F4" s="104"/>
    </row>
    <row r="5" spans="1:6" x14ac:dyDescent="0.25">
      <c r="A5" s="105" t="s">
        <v>2</v>
      </c>
      <c r="B5" s="106"/>
      <c r="C5" s="106"/>
      <c r="D5" s="106"/>
      <c r="E5" s="106"/>
      <c r="F5" s="107"/>
    </row>
    <row r="6" spans="1:6" ht="30" x14ac:dyDescent="0.25">
      <c r="A6" s="2" t="s">
        <v>3</v>
      </c>
      <c r="B6" s="3" t="str">
        <f>ANIO</f>
        <v>2021 (d)</v>
      </c>
      <c r="C6" s="4" t="str">
        <f>ULTIMO</f>
        <v>31 de diciembre de 2020 (e)</v>
      </c>
      <c r="D6" s="5" t="s">
        <v>4</v>
      </c>
      <c r="E6" s="3" t="str">
        <f>ANIO</f>
        <v>2021 (d)</v>
      </c>
      <c r="F6" s="4" t="str">
        <f>ULTIMO</f>
        <v>31 de diciembre de 2020 (e)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10">
        <f>SUM(B10:B16)</f>
        <v>90312923.030000001</v>
      </c>
      <c r="C9" s="10">
        <f>SUM(C10:C16)</f>
        <v>101454961.03999999</v>
      </c>
      <c r="D9" s="11" t="s">
        <v>10</v>
      </c>
      <c r="E9" s="10">
        <f>SUM(E10:E18)</f>
        <v>21022797.140000001</v>
      </c>
      <c r="F9" s="10">
        <f>SUM(F10:F18)</f>
        <v>11770703.09</v>
      </c>
    </row>
    <row r="10" spans="1:6" x14ac:dyDescent="0.25">
      <c r="A10" s="12" t="s">
        <v>11</v>
      </c>
      <c r="B10" s="10">
        <v>134500</v>
      </c>
      <c r="C10" s="10">
        <v>134500</v>
      </c>
      <c r="D10" s="13" t="s">
        <v>12</v>
      </c>
      <c r="E10" s="10">
        <v>1573267.66</v>
      </c>
      <c r="F10" s="10">
        <v>1473369.97</v>
      </c>
    </row>
    <row r="11" spans="1:6" x14ac:dyDescent="0.25">
      <c r="A11" s="12" t="s">
        <v>13</v>
      </c>
      <c r="B11" s="10">
        <v>54954351.509999998</v>
      </c>
      <c r="C11" s="10">
        <v>49828326.43</v>
      </c>
      <c r="D11" s="13" t="s">
        <v>14</v>
      </c>
      <c r="E11" s="10">
        <v>0</v>
      </c>
      <c r="F11" s="10">
        <v>0</v>
      </c>
    </row>
    <row r="12" spans="1:6" x14ac:dyDescent="0.25">
      <c r="A12" s="12" t="s">
        <v>15</v>
      </c>
      <c r="B12" s="10" t="s">
        <v>16</v>
      </c>
      <c r="C12" s="10" t="s">
        <v>16</v>
      </c>
      <c r="D12" s="13" t="s">
        <v>17</v>
      </c>
      <c r="E12" s="10">
        <v>0</v>
      </c>
      <c r="F12" s="10">
        <v>0</v>
      </c>
    </row>
    <row r="13" spans="1:6" x14ac:dyDescent="0.25">
      <c r="A13" s="12" t="s">
        <v>18</v>
      </c>
      <c r="B13" s="10">
        <v>35224071.520000003</v>
      </c>
      <c r="C13" s="10">
        <v>51492134.609999999</v>
      </c>
      <c r="D13" s="13" t="s">
        <v>19</v>
      </c>
      <c r="E13" s="10">
        <v>0</v>
      </c>
      <c r="F13" s="10">
        <v>0</v>
      </c>
    </row>
    <row r="14" spans="1:6" x14ac:dyDescent="0.25">
      <c r="A14" s="12" t="s">
        <v>20</v>
      </c>
      <c r="B14" s="10" t="s">
        <v>16</v>
      </c>
      <c r="C14" s="10" t="s">
        <v>16</v>
      </c>
      <c r="D14" s="13" t="s">
        <v>21</v>
      </c>
      <c r="E14" s="10">
        <v>0</v>
      </c>
      <c r="F14" s="10">
        <v>0</v>
      </c>
    </row>
    <row r="15" spans="1:6" x14ac:dyDescent="0.25">
      <c r="A15" s="12" t="s">
        <v>22</v>
      </c>
      <c r="B15" s="10" t="s">
        <v>16</v>
      </c>
      <c r="C15" s="10" t="s">
        <v>16</v>
      </c>
      <c r="D15" s="13" t="s">
        <v>23</v>
      </c>
      <c r="E15" s="10">
        <v>0</v>
      </c>
      <c r="F15" s="10">
        <v>0</v>
      </c>
    </row>
    <row r="16" spans="1:6" x14ac:dyDescent="0.25">
      <c r="A16" s="12" t="s">
        <v>24</v>
      </c>
      <c r="B16" s="10" t="s">
        <v>16</v>
      </c>
      <c r="C16" s="10">
        <v>0</v>
      </c>
      <c r="D16" s="13" t="s">
        <v>25</v>
      </c>
      <c r="E16" s="10">
        <v>3135056.29</v>
      </c>
      <c r="F16" s="10">
        <v>2791158.72</v>
      </c>
    </row>
    <row r="17" spans="1:6" x14ac:dyDescent="0.25">
      <c r="A17" s="9" t="s">
        <v>26</v>
      </c>
      <c r="B17" s="10">
        <f>SUM(B18:B24)</f>
        <v>36377249.390000001</v>
      </c>
      <c r="C17" s="10">
        <f>SUM(C18:C24)</f>
        <v>28320907.399999999</v>
      </c>
      <c r="D17" s="13" t="s">
        <v>27</v>
      </c>
      <c r="E17" s="10">
        <v>0</v>
      </c>
      <c r="F17" s="10">
        <v>0</v>
      </c>
    </row>
    <row r="18" spans="1:6" x14ac:dyDescent="0.25">
      <c r="A18" s="12" t="s">
        <v>28</v>
      </c>
      <c r="B18" s="10">
        <v>0</v>
      </c>
      <c r="C18" s="10">
        <v>0</v>
      </c>
      <c r="D18" s="13" t="s">
        <v>29</v>
      </c>
      <c r="E18" s="10">
        <v>16314473.189999999</v>
      </c>
      <c r="F18" s="10">
        <v>7506174.4000000004</v>
      </c>
    </row>
    <row r="19" spans="1:6" x14ac:dyDescent="0.25">
      <c r="A19" s="12" t="s">
        <v>30</v>
      </c>
      <c r="B19" s="10">
        <v>33759661.619999997</v>
      </c>
      <c r="C19" s="10">
        <v>25554746.699999999</v>
      </c>
      <c r="D19" s="11" t="s">
        <v>31</v>
      </c>
      <c r="E19" s="10">
        <f>SUM(E20:E22)</f>
        <v>0</v>
      </c>
      <c r="F19" s="10">
        <f>SUM(F20:F22)</f>
        <v>0</v>
      </c>
    </row>
    <row r="20" spans="1:6" x14ac:dyDescent="0.25">
      <c r="A20" s="12" t="s">
        <v>32</v>
      </c>
      <c r="B20" s="10">
        <v>16844.77</v>
      </c>
      <c r="C20" s="10">
        <v>5217.7700000000004</v>
      </c>
      <c r="D20" s="13" t="s">
        <v>33</v>
      </c>
      <c r="E20" s="10">
        <v>0</v>
      </c>
      <c r="F20" s="10">
        <v>0</v>
      </c>
    </row>
    <row r="21" spans="1:6" x14ac:dyDescent="0.25">
      <c r="A21" s="12" t="s">
        <v>34</v>
      </c>
      <c r="B21" s="10">
        <v>0</v>
      </c>
      <c r="C21" s="10">
        <v>0</v>
      </c>
      <c r="D21" s="13" t="s">
        <v>35</v>
      </c>
      <c r="E21" s="10">
        <v>0</v>
      </c>
      <c r="F21" s="10">
        <v>0</v>
      </c>
    </row>
    <row r="22" spans="1:6" x14ac:dyDescent="0.25">
      <c r="A22" s="12" t="s">
        <v>36</v>
      </c>
      <c r="B22" s="10">
        <v>0</v>
      </c>
      <c r="C22" s="10">
        <v>0</v>
      </c>
      <c r="D22" s="13" t="s">
        <v>37</v>
      </c>
      <c r="E22" s="10">
        <v>0</v>
      </c>
      <c r="F22" s="10">
        <v>0</v>
      </c>
    </row>
    <row r="23" spans="1:6" x14ac:dyDescent="0.25">
      <c r="A23" s="12" t="s">
        <v>38</v>
      </c>
      <c r="B23" s="10">
        <v>2600743</v>
      </c>
      <c r="C23" s="10">
        <v>2760942.93</v>
      </c>
      <c r="D23" s="11" t="s">
        <v>39</v>
      </c>
      <c r="E23" s="10">
        <f>E24+E25</f>
        <v>0</v>
      </c>
      <c r="F23" s="10">
        <f>F24+F25</f>
        <v>0</v>
      </c>
    </row>
    <row r="24" spans="1:6" x14ac:dyDescent="0.25">
      <c r="A24" s="12" t="s">
        <v>40</v>
      </c>
      <c r="B24" s="10">
        <v>0</v>
      </c>
      <c r="C24" s="10">
        <v>0</v>
      </c>
      <c r="D24" s="13" t="s">
        <v>41</v>
      </c>
      <c r="E24" s="10">
        <v>0</v>
      </c>
      <c r="F24" s="10">
        <v>0</v>
      </c>
    </row>
    <row r="25" spans="1:6" x14ac:dyDescent="0.25">
      <c r="A25" s="9" t="s">
        <v>42</v>
      </c>
      <c r="B25" s="10">
        <f>SUM(B26:B30)</f>
        <v>2254375.5300000003</v>
      </c>
      <c r="C25" s="10">
        <f>SUM(C26:C30)</f>
        <v>12226704.029999999</v>
      </c>
      <c r="D25" s="13" t="s">
        <v>43</v>
      </c>
      <c r="E25" s="10">
        <v>0</v>
      </c>
      <c r="F25" s="10">
        <v>0</v>
      </c>
    </row>
    <row r="26" spans="1:6" x14ac:dyDescent="0.25">
      <c r="A26" s="12" t="s">
        <v>44</v>
      </c>
      <c r="B26" s="10">
        <v>469763.03</v>
      </c>
      <c r="C26" s="10">
        <v>1679205.17</v>
      </c>
      <c r="D26" s="11" t="s">
        <v>45</v>
      </c>
      <c r="E26" s="10">
        <v>0</v>
      </c>
      <c r="F26" s="10">
        <v>0</v>
      </c>
    </row>
    <row r="27" spans="1:6" x14ac:dyDescent="0.25">
      <c r="A27" s="12" t="s">
        <v>46</v>
      </c>
      <c r="B27" s="10">
        <v>0</v>
      </c>
      <c r="C27" s="10">
        <v>0</v>
      </c>
      <c r="D27" s="11" t="s">
        <v>47</v>
      </c>
      <c r="E27" s="10">
        <f>SUM(E28:E30)</f>
        <v>97711.08</v>
      </c>
      <c r="F27" s="10">
        <f>SUM(F28:F30)</f>
        <v>97711.08</v>
      </c>
    </row>
    <row r="28" spans="1:6" x14ac:dyDescent="0.25">
      <c r="A28" s="12" t="s">
        <v>48</v>
      </c>
      <c r="B28" s="10">
        <v>0</v>
      </c>
      <c r="C28" s="10">
        <v>0</v>
      </c>
      <c r="D28" s="13" t="s">
        <v>49</v>
      </c>
      <c r="E28" s="10">
        <v>97711.08</v>
      </c>
      <c r="F28" s="10">
        <v>97711.08</v>
      </c>
    </row>
    <row r="29" spans="1:6" x14ac:dyDescent="0.25">
      <c r="A29" s="12" t="s">
        <v>50</v>
      </c>
      <c r="B29" s="10">
        <v>1784612.5</v>
      </c>
      <c r="C29" s="10">
        <v>10547498.859999999</v>
      </c>
      <c r="D29" s="13" t="s">
        <v>51</v>
      </c>
      <c r="E29" s="10">
        <v>0</v>
      </c>
      <c r="F29" s="10">
        <v>0</v>
      </c>
    </row>
    <row r="30" spans="1:6" x14ac:dyDescent="0.25">
      <c r="A30" s="12" t="s">
        <v>52</v>
      </c>
      <c r="B30" s="10">
        <v>0</v>
      </c>
      <c r="C30" s="10">
        <v>0</v>
      </c>
      <c r="D30" s="13" t="s">
        <v>53</v>
      </c>
      <c r="E30" s="10">
        <v>0</v>
      </c>
      <c r="F30" s="10">
        <v>0</v>
      </c>
    </row>
    <row r="31" spans="1:6" x14ac:dyDescent="0.25">
      <c r="A31" s="9" t="s">
        <v>54</v>
      </c>
      <c r="B31" s="10">
        <f>SUM(B32:B36)</f>
        <v>0</v>
      </c>
      <c r="C31" s="10">
        <f>SUM(C32:C36)</f>
        <v>0</v>
      </c>
      <c r="D31" s="11" t="s">
        <v>55</v>
      </c>
      <c r="E31" s="10">
        <f>SUM(E32:E37)</f>
        <v>0</v>
      </c>
      <c r="F31" s="10">
        <f>SUM(F32:F37)</f>
        <v>0</v>
      </c>
    </row>
    <row r="32" spans="1:6" x14ac:dyDescent="0.25">
      <c r="A32" s="12" t="s">
        <v>56</v>
      </c>
      <c r="B32" s="10">
        <v>0</v>
      </c>
      <c r="C32" s="10">
        <v>0</v>
      </c>
      <c r="D32" s="13" t="s">
        <v>57</v>
      </c>
      <c r="E32" s="10">
        <v>0</v>
      </c>
      <c r="F32" s="10">
        <v>0</v>
      </c>
    </row>
    <row r="33" spans="1:6" x14ac:dyDescent="0.25">
      <c r="A33" s="12" t="s">
        <v>58</v>
      </c>
      <c r="B33" s="10">
        <v>0</v>
      </c>
      <c r="C33" s="10">
        <v>0</v>
      </c>
      <c r="D33" s="13" t="s">
        <v>59</v>
      </c>
      <c r="E33" s="10">
        <v>0</v>
      </c>
      <c r="F33" s="10">
        <v>0</v>
      </c>
    </row>
    <row r="34" spans="1:6" x14ac:dyDescent="0.25">
      <c r="A34" s="12" t="s">
        <v>60</v>
      </c>
      <c r="B34" s="10">
        <v>0</v>
      </c>
      <c r="C34" s="10">
        <v>0</v>
      </c>
      <c r="D34" s="13" t="s">
        <v>61</v>
      </c>
      <c r="E34" s="10">
        <v>0</v>
      </c>
      <c r="F34" s="10">
        <v>0</v>
      </c>
    </row>
    <row r="35" spans="1:6" x14ac:dyDescent="0.25">
      <c r="A35" s="12" t="s">
        <v>62</v>
      </c>
      <c r="B35" s="10">
        <v>0</v>
      </c>
      <c r="C35" s="10">
        <v>0</v>
      </c>
      <c r="D35" s="13" t="s">
        <v>63</v>
      </c>
      <c r="E35" s="10">
        <v>0</v>
      </c>
      <c r="F35" s="10">
        <v>0</v>
      </c>
    </row>
    <row r="36" spans="1:6" x14ac:dyDescent="0.25">
      <c r="A36" s="12" t="s">
        <v>64</v>
      </c>
      <c r="B36" s="10">
        <v>0</v>
      </c>
      <c r="C36" s="10">
        <v>0</v>
      </c>
      <c r="D36" s="13" t="s">
        <v>65</v>
      </c>
      <c r="E36" s="10">
        <v>0</v>
      </c>
      <c r="F36" s="10">
        <v>0</v>
      </c>
    </row>
    <row r="37" spans="1:6" x14ac:dyDescent="0.25">
      <c r="A37" s="9" t="s">
        <v>66</v>
      </c>
      <c r="B37" s="10">
        <v>14501653.02</v>
      </c>
      <c r="C37" s="10">
        <v>11517664.199999999</v>
      </c>
      <c r="D37" s="13" t="s">
        <v>67</v>
      </c>
      <c r="E37" s="10">
        <v>0</v>
      </c>
      <c r="F37" s="10">
        <v>0</v>
      </c>
    </row>
    <row r="38" spans="1:6" x14ac:dyDescent="0.25">
      <c r="A38" s="9" t="s">
        <v>68</v>
      </c>
      <c r="B38" s="10">
        <f>SUM(B39:B40)</f>
        <v>0</v>
      </c>
      <c r="C38" s="10">
        <f>SUM(C39:C40)</f>
        <v>0</v>
      </c>
      <c r="D38" s="11" t="s">
        <v>69</v>
      </c>
      <c r="E38" s="10">
        <f>SUM(E39:E41)</f>
        <v>0</v>
      </c>
      <c r="F38" s="10">
        <f>SUM(F39:F41)</f>
        <v>0</v>
      </c>
    </row>
    <row r="39" spans="1:6" x14ac:dyDescent="0.25">
      <c r="A39" s="12" t="s">
        <v>70</v>
      </c>
      <c r="B39" s="10">
        <v>0</v>
      </c>
      <c r="C39" s="10">
        <v>0</v>
      </c>
      <c r="D39" s="13" t="s">
        <v>71</v>
      </c>
      <c r="E39" s="10">
        <v>0</v>
      </c>
      <c r="F39" s="10">
        <v>0</v>
      </c>
    </row>
    <row r="40" spans="1:6" x14ac:dyDescent="0.25">
      <c r="A40" s="12" t="s">
        <v>72</v>
      </c>
      <c r="B40" s="10">
        <v>0</v>
      </c>
      <c r="C40" s="10">
        <v>0</v>
      </c>
      <c r="D40" s="13" t="s">
        <v>73</v>
      </c>
      <c r="E40" s="10">
        <v>0</v>
      </c>
      <c r="F40" s="10">
        <v>0</v>
      </c>
    </row>
    <row r="41" spans="1:6" x14ac:dyDescent="0.25">
      <c r="A41" s="9" t="s">
        <v>74</v>
      </c>
      <c r="B41" s="10">
        <f>SUM(B42:B45)</f>
        <v>0</v>
      </c>
      <c r="C41" s="10">
        <f>SUM(C42:C45)</f>
        <v>0</v>
      </c>
      <c r="D41" s="13" t="s">
        <v>75</v>
      </c>
      <c r="E41" s="10">
        <v>0</v>
      </c>
      <c r="F41" s="10">
        <v>0</v>
      </c>
    </row>
    <row r="42" spans="1:6" x14ac:dyDescent="0.25">
      <c r="A42" s="12" t="s">
        <v>76</v>
      </c>
      <c r="B42" s="10">
        <v>0</v>
      </c>
      <c r="C42" s="10">
        <v>0</v>
      </c>
      <c r="D42" s="11" t="s">
        <v>77</v>
      </c>
      <c r="E42" s="10">
        <f>SUM(E43:E45)</f>
        <v>0</v>
      </c>
      <c r="F42" s="10">
        <f>SUM(F43:F45)</f>
        <v>0</v>
      </c>
    </row>
    <row r="43" spans="1:6" x14ac:dyDescent="0.25">
      <c r="A43" s="12" t="s">
        <v>78</v>
      </c>
      <c r="B43" s="10">
        <v>0</v>
      </c>
      <c r="C43" s="10">
        <v>0</v>
      </c>
      <c r="D43" s="13" t="s">
        <v>79</v>
      </c>
      <c r="E43" s="10">
        <v>0</v>
      </c>
      <c r="F43" s="10">
        <v>0</v>
      </c>
    </row>
    <row r="44" spans="1:6" x14ac:dyDescent="0.25">
      <c r="A44" s="12" t="s">
        <v>80</v>
      </c>
      <c r="B44" s="10">
        <v>0</v>
      </c>
      <c r="C44" s="10">
        <v>0</v>
      </c>
      <c r="D44" s="13" t="s">
        <v>81</v>
      </c>
      <c r="E44" s="10">
        <v>0</v>
      </c>
      <c r="F44" s="10">
        <v>0</v>
      </c>
    </row>
    <row r="45" spans="1:6" x14ac:dyDescent="0.25">
      <c r="A45" s="12" t="s">
        <v>82</v>
      </c>
      <c r="B45" s="10">
        <v>0</v>
      </c>
      <c r="C45" s="10">
        <v>0</v>
      </c>
      <c r="D45" s="13" t="s">
        <v>83</v>
      </c>
      <c r="E45" s="10">
        <v>0</v>
      </c>
      <c r="F45" s="10">
        <v>0</v>
      </c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14" t="s">
        <v>84</v>
      </c>
      <c r="B47" s="15">
        <f>B9+B17+B25+B31+B37+B38+B41</f>
        <v>143446200.97</v>
      </c>
      <c r="C47" s="15">
        <f>C9+C17+C25+C31+C37+C38+C41</f>
        <v>153520236.66999999</v>
      </c>
      <c r="D47" s="8" t="s">
        <v>85</v>
      </c>
      <c r="E47" s="15">
        <f>E9+E19+E23+E26+E27+E31+E38+E42</f>
        <v>21120508.219999999</v>
      </c>
      <c r="F47" s="15">
        <f>F9+F19+F23+F26+F27+F31+F38+F42</f>
        <v>11868414.17</v>
      </c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6" t="s">
        <v>86</v>
      </c>
      <c r="B49" s="7"/>
      <c r="C49" s="7"/>
      <c r="D49" s="8" t="s">
        <v>87</v>
      </c>
      <c r="E49" s="7"/>
      <c r="F49" s="7"/>
    </row>
    <row r="50" spans="1:6" x14ac:dyDescent="0.25">
      <c r="A50" s="9" t="s">
        <v>88</v>
      </c>
      <c r="B50" s="10">
        <v>0</v>
      </c>
      <c r="C50" s="10">
        <v>0</v>
      </c>
      <c r="D50" s="11" t="s">
        <v>89</v>
      </c>
      <c r="E50" s="10">
        <v>490954</v>
      </c>
      <c r="F50" s="10">
        <v>482938</v>
      </c>
    </row>
    <row r="51" spans="1:6" x14ac:dyDescent="0.25">
      <c r="A51" s="9" t="s">
        <v>90</v>
      </c>
      <c r="B51" s="10">
        <v>0</v>
      </c>
      <c r="C51" s="10">
        <v>0</v>
      </c>
      <c r="D51" s="11" t="s">
        <v>91</v>
      </c>
      <c r="E51" s="10">
        <v>0</v>
      </c>
      <c r="F51" s="10">
        <v>0</v>
      </c>
    </row>
    <row r="52" spans="1:6" x14ac:dyDescent="0.25">
      <c r="A52" s="9" t="s">
        <v>92</v>
      </c>
      <c r="B52" s="10">
        <v>497955319.97000003</v>
      </c>
      <c r="C52" s="10">
        <v>446481255.90000004</v>
      </c>
      <c r="D52" s="11" t="s">
        <v>93</v>
      </c>
      <c r="E52" s="10">
        <v>0</v>
      </c>
      <c r="F52" s="10">
        <v>0</v>
      </c>
    </row>
    <row r="53" spans="1:6" x14ac:dyDescent="0.25">
      <c r="A53" s="9" t="s">
        <v>94</v>
      </c>
      <c r="B53" s="10">
        <v>91448901.890000001</v>
      </c>
      <c r="C53" s="10">
        <v>78712045</v>
      </c>
      <c r="D53" s="11" t="s">
        <v>95</v>
      </c>
      <c r="E53" s="10">
        <v>0</v>
      </c>
      <c r="F53" s="10">
        <v>0</v>
      </c>
    </row>
    <row r="54" spans="1:6" x14ac:dyDescent="0.25">
      <c r="A54" s="9" t="s">
        <v>96</v>
      </c>
      <c r="B54" s="10">
        <v>1808548.78</v>
      </c>
      <c r="C54" s="10">
        <v>1425170.6199999999</v>
      </c>
      <c r="D54" s="11" t="s">
        <v>97</v>
      </c>
      <c r="E54" s="10">
        <v>0</v>
      </c>
      <c r="F54" s="10">
        <v>0</v>
      </c>
    </row>
    <row r="55" spans="1:6" x14ac:dyDescent="0.25">
      <c r="A55" s="9" t="s">
        <v>98</v>
      </c>
      <c r="B55" s="10">
        <v>-90791822.299999997</v>
      </c>
      <c r="C55" s="10">
        <v>-84744656.13000001</v>
      </c>
      <c r="D55" s="16" t="s">
        <v>99</v>
      </c>
      <c r="E55" s="10">
        <v>0</v>
      </c>
      <c r="F55" s="10">
        <v>0</v>
      </c>
    </row>
    <row r="56" spans="1:6" x14ac:dyDescent="0.25">
      <c r="A56" s="9" t="s">
        <v>100</v>
      </c>
      <c r="B56" s="10">
        <v>31565207.619999997</v>
      </c>
      <c r="C56" s="10">
        <v>24573863.870000001</v>
      </c>
      <c r="D56" s="7"/>
      <c r="E56" s="7"/>
      <c r="F56" s="7"/>
    </row>
    <row r="57" spans="1:6" x14ac:dyDescent="0.25">
      <c r="A57" s="9" t="s">
        <v>101</v>
      </c>
      <c r="B57" s="10">
        <v>0</v>
      </c>
      <c r="C57" s="10">
        <v>0</v>
      </c>
      <c r="D57" s="8" t="s">
        <v>102</v>
      </c>
      <c r="E57" s="15">
        <f>SUM(E50:E55)</f>
        <v>490954</v>
      </c>
      <c r="F57" s="15">
        <f>SUM(F50:F55)</f>
        <v>482938</v>
      </c>
    </row>
    <row r="58" spans="1:6" x14ac:dyDescent="0.25">
      <c r="A58" s="9" t="s">
        <v>103</v>
      </c>
      <c r="B58" s="10">
        <v>0</v>
      </c>
      <c r="C58" s="10">
        <v>0</v>
      </c>
      <c r="D58" s="7"/>
      <c r="E58" s="7"/>
      <c r="F58" s="7"/>
    </row>
    <row r="59" spans="1:6" x14ac:dyDescent="0.25">
      <c r="A59" s="7"/>
      <c r="B59" s="7"/>
      <c r="C59" s="7"/>
      <c r="D59" s="8" t="s">
        <v>104</v>
      </c>
      <c r="E59" s="15">
        <f>E47+E57</f>
        <v>21611462.219999999</v>
      </c>
      <c r="F59" s="15">
        <f>F47+F57</f>
        <v>12351352.17</v>
      </c>
    </row>
    <row r="60" spans="1:6" x14ac:dyDescent="0.25">
      <c r="A60" s="14" t="s">
        <v>105</v>
      </c>
      <c r="B60" s="15">
        <f>SUM(B50:B58)</f>
        <v>531986155.95999998</v>
      </c>
      <c r="C60" s="15">
        <f>SUM(C50:C58)</f>
        <v>466447679.26000005</v>
      </c>
      <c r="D60" s="7"/>
      <c r="E60" s="7"/>
      <c r="F60" s="7"/>
    </row>
    <row r="61" spans="1:6" x14ac:dyDescent="0.25">
      <c r="A61" s="7"/>
      <c r="B61" s="7"/>
      <c r="C61" s="7"/>
      <c r="D61" s="17" t="s">
        <v>106</v>
      </c>
      <c r="E61" s="7"/>
      <c r="F61" s="7"/>
    </row>
    <row r="62" spans="1:6" x14ac:dyDescent="0.25">
      <c r="A62" s="14" t="s">
        <v>107</v>
      </c>
      <c r="B62" s="15">
        <f>SUM(B47+B60)</f>
        <v>675432356.92999995</v>
      </c>
      <c r="C62" s="15">
        <f>SUM(C47+C60)</f>
        <v>619967915.93000007</v>
      </c>
      <c r="D62" s="7"/>
      <c r="E62" s="7"/>
      <c r="F62" s="7"/>
    </row>
    <row r="63" spans="1:6" x14ac:dyDescent="0.25">
      <c r="A63" s="7"/>
      <c r="B63" s="7"/>
      <c r="C63" s="7"/>
      <c r="D63" s="18" t="s">
        <v>108</v>
      </c>
      <c r="E63" s="10">
        <f>SUM(E64:E66)</f>
        <v>106788382.20999999</v>
      </c>
      <c r="F63" s="10">
        <f>SUM(F64:F66)</f>
        <v>106788382.20999999</v>
      </c>
    </row>
    <row r="64" spans="1:6" x14ac:dyDescent="0.25">
      <c r="A64" s="7"/>
      <c r="B64" s="7"/>
      <c r="C64" s="7"/>
      <c r="D64" s="11" t="s">
        <v>109</v>
      </c>
      <c r="E64" s="10">
        <v>106788382.20999999</v>
      </c>
      <c r="F64" s="10">
        <v>106788382.20999999</v>
      </c>
    </row>
    <row r="65" spans="1:6" x14ac:dyDescent="0.25">
      <c r="A65" s="7"/>
      <c r="B65" s="7"/>
      <c r="C65" s="7"/>
      <c r="D65" s="16" t="s">
        <v>110</v>
      </c>
      <c r="E65" s="10">
        <v>0</v>
      </c>
      <c r="F65" s="10">
        <v>0</v>
      </c>
    </row>
    <row r="66" spans="1:6" x14ac:dyDescent="0.25">
      <c r="A66" s="7"/>
      <c r="B66" s="7"/>
      <c r="C66" s="7"/>
      <c r="D66" s="11" t="s">
        <v>111</v>
      </c>
      <c r="E66" s="10">
        <v>0</v>
      </c>
      <c r="F66" s="10">
        <v>0</v>
      </c>
    </row>
    <row r="67" spans="1:6" x14ac:dyDescent="0.25">
      <c r="A67" s="7"/>
      <c r="B67" s="7"/>
      <c r="C67" s="7"/>
      <c r="D67" s="7"/>
      <c r="E67" s="7"/>
      <c r="F67" s="7"/>
    </row>
    <row r="68" spans="1:6" x14ac:dyDescent="0.25">
      <c r="A68" s="7"/>
      <c r="B68" s="7"/>
      <c r="C68" s="7"/>
      <c r="D68" s="18" t="s">
        <v>112</v>
      </c>
      <c r="E68" s="10">
        <f>SUM(E69:E73)</f>
        <v>547032512.5</v>
      </c>
      <c r="F68" s="10">
        <f>SUM(F69:F73)</f>
        <v>500828181.55000001</v>
      </c>
    </row>
    <row r="69" spans="1:6" x14ac:dyDescent="0.25">
      <c r="A69" s="19"/>
      <c r="B69" s="7"/>
      <c r="C69" s="7"/>
      <c r="D69" s="11" t="s">
        <v>113</v>
      </c>
      <c r="E69" s="10">
        <v>46987066.569999993</v>
      </c>
      <c r="F69" s="10">
        <v>31326788.810000002</v>
      </c>
    </row>
    <row r="70" spans="1:6" x14ac:dyDescent="0.25">
      <c r="A70" s="19"/>
      <c r="B70" s="7"/>
      <c r="C70" s="7"/>
      <c r="D70" s="11" t="s">
        <v>114</v>
      </c>
      <c r="E70" s="10">
        <v>500045445.93000001</v>
      </c>
      <c r="F70" s="10">
        <v>469501392.74000001</v>
      </c>
    </row>
    <row r="71" spans="1:6" x14ac:dyDescent="0.25">
      <c r="A71" s="19"/>
      <c r="B71" s="7"/>
      <c r="C71" s="7"/>
      <c r="D71" s="11" t="s">
        <v>115</v>
      </c>
      <c r="E71" s="10">
        <v>0</v>
      </c>
      <c r="F71" s="10">
        <v>0</v>
      </c>
    </row>
    <row r="72" spans="1:6" x14ac:dyDescent="0.25">
      <c r="A72" s="19"/>
      <c r="B72" s="7"/>
      <c r="C72" s="7"/>
      <c r="D72" s="11" t="s">
        <v>116</v>
      </c>
      <c r="E72" s="10">
        <v>0</v>
      </c>
      <c r="F72" s="10">
        <v>0</v>
      </c>
    </row>
    <row r="73" spans="1:6" x14ac:dyDescent="0.25">
      <c r="A73" s="19"/>
      <c r="B73" s="7"/>
      <c r="C73" s="7"/>
      <c r="D73" s="11" t="s">
        <v>117</v>
      </c>
      <c r="E73" s="10">
        <v>0</v>
      </c>
      <c r="F73" s="10">
        <v>0</v>
      </c>
    </row>
    <row r="74" spans="1:6" x14ac:dyDescent="0.25">
      <c r="A74" s="19"/>
      <c r="B74" s="7"/>
      <c r="C74" s="7"/>
      <c r="D74" s="7"/>
      <c r="E74" s="7"/>
      <c r="F74" s="7"/>
    </row>
    <row r="75" spans="1:6" x14ac:dyDescent="0.25">
      <c r="A75" s="19"/>
      <c r="B75" s="7"/>
      <c r="C75" s="7"/>
      <c r="D75" s="18" t="s">
        <v>118</v>
      </c>
      <c r="E75" s="10">
        <f>E76+E77</f>
        <v>0</v>
      </c>
      <c r="F75" s="10">
        <f>F76+F77</f>
        <v>0</v>
      </c>
    </row>
    <row r="76" spans="1:6" x14ac:dyDescent="0.25">
      <c r="A76" s="19"/>
      <c r="B76" s="7"/>
      <c r="C76" s="7"/>
      <c r="D76" s="11" t="s">
        <v>119</v>
      </c>
      <c r="E76" s="10">
        <v>0</v>
      </c>
      <c r="F76" s="10">
        <v>0</v>
      </c>
    </row>
    <row r="77" spans="1:6" x14ac:dyDescent="0.25">
      <c r="A77" s="19"/>
      <c r="B77" s="7"/>
      <c r="C77" s="7"/>
      <c r="D77" s="11" t="s">
        <v>120</v>
      </c>
      <c r="E77" s="10">
        <v>0</v>
      </c>
      <c r="F77" s="10">
        <v>0</v>
      </c>
    </row>
    <row r="78" spans="1:6" x14ac:dyDescent="0.25">
      <c r="A78" s="19"/>
      <c r="B78" s="7"/>
      <c r="C78" s="7"/>
      <c r="D78" s="7"/>
      <c r="E78" s="7"/>
      <c r="F78" s="7"/>
    </row>
    <row r="79" spans="1:6" x14ac:dyDescent="0.25">
      <c r="A79" s="19"/>
      <c r="B79" s="7"/>
      <c r="C79" s="7"/>
      <c r="D79" s="8" t="s">
        <v>121</v>
      </c>
      <c r="E79" s="15">
        <f>E63+E68+E75</f>
        <v>653820894.71000004</v>
      </c>
      <c r="F79" s="15">
        <f>F63+F68+F75</f>
        <v>607616563.75999999</v>
      </c>
    </row>
    <row r="80" spans="1:6" x14ac:dyDescent="0.25">
      <c r="A80" s="19"/>
      <c r="B80" s="7"/>
      <c r="C80" s="7"/>
      <c r="D80" s="7"/>
      <c r="E80" s="7"/>
      <c r="F80" s="7"/>
    </row>
    <row r="81" spans="1:6" x14ac:dyDescent="0.25">
      <c r="A81" s="19"/>
      <c r="B81" s="7"/>
      <c r="C81" s="7"/>
      <c r="D81" s="8" t="s">
        <v>122</v>
      </c>
      <c r="E81" s="15">
        <f>E59+E79</f>
        <v>675432356.93000007</v>
      </c>
      <c r="F81" s="15">
        <f>F59+F79</f>
        <v>619967915.92999995</v>
      </c>
    </row>
    <row r="82" spans="1:6" x14ac:dyDescent="0.25">
      <c r="A82" s="20"/>
      <c r="B82" s="21"/>
      <c r="C82" s="21"/>
      <c r="D82" s="21"/>
      <c r="E82" s="21"/>
      <c r="F82" s="21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 xr:uid="{A873687A-941C-4E00-81FD-7D4D9AB5BCEE}">
      <formula1>-1.79769313486231E+100</formula1>
      <formula2>1.79769313486231E+100</formula2>
    </dataValidation>
    <dataValidation allowBlank="1" showInputMessage="1" showErrorMessage="1" prompt="31 de diciembre de 20XN-1 (e)" sqref="C6 F6" xr:uid="{594A8D03-168C-4174-9361-CCFD73C0C069}"/>
    <dataValidation allowBlank="1" showInputMessage="1" showErrorMessage="1" prompt="20XN (d)" sqref="B6 E6" xr:uid="{9A06148E-3D75-4B89-8C0E-D5699EB029F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08F2-6A72-462E-A25D-088F992E8FED}">
  <dimension ref="A1:I45"/>
  <sheetViews>
    <sheetView workbookViewId="0">
      <selection sqref="A1:F1"/>
    </sheetView>
  </sheetViews>
  <sheetFormatPr baseColWidth="10" defaultColWidth="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21.75" customHeight="1" x14ac:dyDescent="0.25">
      <c r="A1" s="109" t="s">
        <v>123</v>
      </c>
      <c r="B1" s="109"/>
      <c r="C1" s="109"/>
      <c r="D1" s="109"/>
      <c r="E1" s="109"/>
      <c r="F1" s="109"/>
      <c r="G1" s="110"/>
      <c r="H1" s="110"/>
    </row>
    <row r="2" spans="1:9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0"/>
      <c r="E2" s="100"/>
      <c r="F2" s="100"/>
      <c r="G2" s="100"/>
      <c r="H2" s="101"/>
    </row>
    <row r="3" spans="1:9" x14ac:dyDescent="0.25">
      <c r="A3" s="102" t="s">
        <v>124</v>
      </c>
      <c r="B3" s="103"/>
      <c r="C3" s="103"/>
      <c r="D3" s="103"/>
      <c r="E3" s="103"/>
      <c r="F3" s="103"/>
      <c r="G3" s="103"/>
      <c r="H3" s="104"/>
    </row>
    <row r="4" spans="1:9" x14ac:dyDescent="0.25">
      <c r="A4" s="102" t="str">
        <f>PERIODO_INFORME</f>
        <v>Al 31 de diciembre de 2020 y al 31 de diciembre de 2021 (b)</v>
      </c>
      <c r="B4" s="103"/>
      <c r="C4" s="103"/>
      <c r="D4" s="103"/>
      <c r="E4" s="103"/>
      <c r="F4" s="103"/>
      <c r="G4" s="103"/>
      <c r="H4" s="104"/>
    </row>
    <row r="5" spans="1:9" x14ac:dyDescent="0.25">
      <c r="A5" s="105" t="s">
        <v>2</v>
      </c>
      <c r="B5" s="106"/>
      <c r="C5" s="106"/>
      <c r="D5" s="106"/>
      <c r="E5" s="106"/>
      <c r="F5" s="106"/>
      <c r="G5" s="106"/>
      <c r="H5" s="107"/>
    </row>
    <row r="6" spans="1:9" ht="45" x14ac:dyDescent="0.25">
      <c r="A6" s="23" t="s">
        <v>125</v>
      </c>
      <c r="B6" s="24" t="str">
        <f>ULTIMO_SALDO</f>
        <v>Saldo al 31 de diciembre de 2020 (d)</v>
      </c>
      <c r="C6" s="23" t="s">
        <v>126</v>
      </c>
      <c r="D6" s="23" t="s">
        <v>127</v>
      </c>
      <c r="E6" s="23" t="s">
        <v>128</v>
      </c>
      <c r="F6" s="23" t="s">
        <v>129</v>
      </c>
      <c r="G6" s="23" t="s">
        <v>130</v>
      </c>
      <c r="H6" s="25" t="s">
        <v>131</v>
      </c>
      <c r="I6" s="26"/>
    </row>
    <row r="7" spans="1:9" x14ac:dyDescent="0.25">
      <c r="A7" s="19"/>
      <c r="B7" s="19"/>
      <c r="C7" s="19"/>
      <c r="D7" s="19"/>
      <c r="E7" s="19"/>
      <c r="F7" s="19"/>
      <c r="G7" s="19"/>
      <c r="H7" s="19"/>
      <c r="I7" s="26"/>
    </row>
    <row r="8" spans="1:9" x14ac:dyDescent="0.25">
      <c r="A8" s="27" t="s">
        <v>132</v>
      </c>
      <c r="B8" s="15">
        <f>B9+B13</f>
        <v>0</v>
      </c>
      <c r="C8" s="15">
        <f t="shared" ref="C8:H8" si="0">C9+C13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</row>
    <row r="9" spans="1:9" x14ac:dyDescent="0.25">
      <c r="A9" s="28" t="s">
        <v>133</v>
      </c>
      <c r="B9" s="10">
        <f>SUM(B10:B12)</f>
        <v>0</v>
      </c>
      <c r="C9" s="10">
        <f t="shared" ref="C9:H9" si="1">SUM(C10:C12)</f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9" x14ac:dyDescent="0.25">
      <c r="A10" s="29" t="s">
        <v>134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1:9" x14ac:dyDescent="0.25">
      <c r="A11" s="29" t="s">
        <v>135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9" x14ac:dyDescent="0.25">
      <c r="A12" s="29" t="s">
        <v>136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9" x14ac:dyDescent="0.25">
      <c r="A13" s="28" t="s">
        <v>137</v>
      </c>
      <c r="B13" s="10">
        <f>SUM(B14:B16)</f>
        <v>0</v>
      </c>
      <c r="C13" s="10">
        <f t="shared" ref="C13:H13" si="2">SUM(C14:C16)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9" x14ac:dyDescent="0.25">
      <c r="A14" s="29" t="s">
        <v>138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9" x14ac:dyDescent="0.25">
      <c r="A15" s="29" t="s">
        <v>139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9" x14ac:dyDescent="0.25">
      <c r="A16" s="29" t="s">
        <v>140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8" x14ac:dyDescent="0.25">
      <c r="A17" s="7"/>
      <c r="B17" s="19"/>
      <c r="C17" s="19"/>
      <c r="D17" s="19"/>
      <c r="E17" s="19"/>
      <c r="F17" s="19"/>
      <c r="G17" s="19"/>
      <c r="H17" s="19"/>
    </row>
    <row r="18" spans="1:8" x14ac:dyDescent="0.25">
      <c r="A18" s="27" t="s">
        <v>141</v>
      </c>
      <c r="B18" s="15">
        <v>12351352.169999957</v>
      </c>
      <c r="C18" s="30"/>
      <c r="D18" s="30"/>
      <c r="E18" s="30"/>
      <c r="F18" s="15">
        <v>21611462.219999969</v>
      </c>
      <c r="G18" s="30"/>
      <c r="H18" s="30"/>
    </row>
    <row r="19" spans="1:8" x14ac:dyDescent="0.25">
      <c r="A19" s="7"/>
      <c r="B19" s="19"/>
      <c r="C19" s="19"/>
      <c r="D19" s="19"/>
      <c r="E19" s="19"/>
      <c r="F19" s="19"/>
      <c r="G19" s="19"/>
      <c r="H19" s="19"/>
    </row>
    <row r="20" spans="1:8" x14ac:dyDescent="0.25">
      <c r="A20" s="27" t="s">
        <v>142</v>
      </c>
      <c r="B20" s="15">
        <f>B8+B18</f>
        <v>12351352.169999957</v>
      </c>
      <c r="C20" s="15">
        <f t="shared" ref="C20:H20" si="3">C8+C18</f>
        <v>0</v>
      </c>
      <c r="D20" s="15">
        <f t="shared" si="3"/>
        <v>0</v>
      </c>
      <c r="E20" s="15">
        <f t="shared" si="3"/>
        <v>0</v>
      </c>
      <c r="F20" s="15">
        <f t="shared" si="3"/>
        <v>21611462.219999969</v>
      </c>
      <c r="G20" s="15">
        <f t="shared" si="3"/>
        <v>0</v>
      </c>
      <c r="H20" s="15">
        <f t="shared" si="3"/>
        <v>0</v>
      </c>
    </row>
    <row r="21" spans="1:8" x14ac:dyDescent="0.25">
      <c r="A21" s="7"/>
      <c r="B21" s="7"/>
      <c r="C21" s="7"/>
      <c r="D21" s="7"/>
      <c r="E21" s="7"/>
      <c r="F21" s="7"/>
      <c r="G21" s="7"/>
      <c r="H21" s="7"/>
    </row>
    <row r="22" spans="1:8" ht="17.25" x14ac:dyDescent="0.25">
      <c r="A22" s="27" t="s">
        <v>143</v>
      </c>
      <c r="B22" s="15">
        <f>SUM(B23:DEUDA_CONT_FIN_01)</f>
        <v>0</v>
      </c>
      <c r="C22" s="15">
        <f>SUM(C23:DEUDA_CONT_FIN_02)</f>
        <v>0</v>
      </c>
      <c r="D22" s="15">
        <f>SUM(D23:DEUDA_CONT_FIN_03)</f>
        <v>0</v>
      </c>
      <c r="E22" s="15">
        <f>SUM(E23:DEUDA_CONT_FIN_04)</f>
        <v>0</v>
      </c>
      <c r="F22" s="15">
        <f>SUM(F23:DEUDA_CONT_FIN_05)</f>
        <v>0</v>
      </c>
      <c r="G22" s="15">
        <f>SUM(G23:DEUDA_CONT_FIN_06)</f>
        <v>0</v>
      </c>
      <c r="H22" s="15">
        <f>SUM(H23:DEUDA_CONT_FIN_07)</f>
        <v>0</v>
      </c>
    </row>
    <row r="23" spans="1:8" s="32" customFormat="1" x14ac:dyDescent="0.25">
      <c r="A23" s="31" t="s">
        <v>144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s="32" customFormat="1" x14ac:dyDescent="0.25">
      <c r="A24" s="31" t="s">
        <v>145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s="32" customFormat="1" x14ac:dyDescent="0.25">
      <c r="A25" s="31" t="s">
        <v>146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x14ac:dyDescent="0.25">
      <c r="A26" s="33" t="s">
        <v>147</v>
      </c>
      <c r="B26" s="7"/>
      <c r="C26" s="7"/>
      <c r="D26" s="7"/>
      <c r="E26" s="7"/>
      <c r="F26" s="7"/>
      <c r="G26" s="7"/>
      <c r="H26" s="7"/>
    </row>
    <row r="27" spans="1:8" ht="17.25" x14ac:dyDescent="0.25">
      <c r="A27" s="27" t="s">
        <v>148</v>
      </c>
      <c r="B27" s="15">
        <f>SUM(B28:VALOR_INS_BCC_FIN_01)</f>
        <v>0</v>
      </c>
      <c r="C27" s="15">
        <f>SUM(C28:VALOR_INS_BCC_FIN_02)</f>
        <v>0</v>
      </c>
      <c r="D27" s="15">
        <f>SUM(D28:VALOR_INS_BCC_FIN_03)</f>
        <v>0</v>
      </c>
      <c r="E27" s="15">
        <f>SUM(E28:VALOR_INS_BCC_FIN_04)</f>
        <v>0</v>
      </c>
      <c r="F27" s="15">
        <f>SUM(F28:VALOR_INS_BCC_FIN_05)</f>
        <v>0</v>
      </c>
      <c r="G27" s="15">
        <f>SUM(G28:VALOR_INS_BCC_FIN_06)</f>
        <v>0</v>
      </c>
      <c r="H27" s="15">
        <f>SUM(H28:VALOR_INS_BCC_FIN_07)</f>
        <v>0</v>
      </c>
    </row>
    <row r="28" spans="1:8" s="32" customFormat="1" x14ac:dyDescent="0.25">
      <c r="A28" s="31" t="s">
        <v>149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s="32" customFormat="1" x14ac:dyDescent="0.25">
      <c r="A29" s="31" t="s">
        <v>150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s="32" customFormat="1" x14ac:dyDescent="0.25">
      <c r="A30" s="31" t="s">
        <v>151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x14ac:dyDescent="0.25">
      <c r="A31" s="34" t="s">
        <v>147</v>
      </c>
      <c r="B31" s="20"/>
      <c r="C31" s="20"/>
      <c r="D31" s="20"/>
      <c r="E31" s="20"/>
      <c r="F31" s="20"/>
      <c r="G31" s="20"/>
      <c r="H31" s="20"/>
    </row>
    <row r="32" spans="1:8" x14ac:dyDescent="0.25">
      <c r="A32" s="1"/>
    </row>
    <row r="33" spans="1:8" x14ac:dyDescent="0.25">
      <c r="A33" s="108" t="s">
        <v>152</v>
      </c>
      <c r="B33" s="108"/>
      <c r="C33" s="108"/>
      <c r="D33" s="108"/>
      <c r="E33" s="108"/>
      <c r="F33" s="108"/>
      <c r="G33" s="108"/>
      <c r="H33" s="108"/>
    </row>
    <row r="34" spans="1:8" x14ac:dyDescent="0.25">
      <c r="A34" s="108"/>
      <c r="B34" s="108"/>
      <c r="C34" s="108"/>
      <c r="D34" s="108"/>
      <c r="E34" s="108"/>
      <c r="F34" s="108"/>
      <c r="G34" s="108"/>
      <c r="H34" s="108"/>
    </row>
    <row r="35" spans="1:8" x14ac:dyDescent="0.25">
      <c r="A35" s="108"/>
      <c r="B35" s="108"/>
      <c r="C35" s="108"/>
      <c r="D35" s="108"/>
      <c r="E35" s="108"/>
      <c r="F35" s="108"/>
      <c r="G35" s="108"/>
      <c r="H35" s="108"/>
    </row>
    <row r="36" spans="1:8" x14ac:dyDescent="0.25">
      <c r="A36" s="108"/>
      <c r="B36" s="108"/>
      <c r="C36" s="108"/>
      <c r="D36" s="108"/>
      <c r="E36" s="108"/>
      <c r="F36" s="108"/>
      <c r="G36" s="108"/>
      <c r="H36" s="108"/>
    </row>
    <row r="37" spans="1:8" x14ac:dyDescent="0.25">
      <c r="A37" s="108"/>
      <c r="B37" s="108"/>
      <c r="C37" s="108"/>
      <c r="D37" s="108"/>
      <c r="E37" s="108"/>
      <c r="F37" s="108"/>
      <c r="G37" s="108"/>
      <c r="H37" s="108"/>
    </row>
    <row r="38" spans="1:8" x14ac:dyDescent="0.25">
      <c r="A38" s="1"/>
    </row>
    <row r="39" spans="1:8" ht="30" x14ac:dyDescent="0.25">
      <c r="A39" s="23" t="s">
        <v>153</v>
      </c>
      <c r="B39" s="23" t="s">
        <v>154</v>
      </c>
      <c r="C39" s="23" t="s">
        <v>155</v>
      </c>
      <c r="D39" s="23" t="s">
        <v>156</v>
      </c>
      <c r="E39" s="23" t="s">
        <v>157</v>
      </c>
      <c r="F39" s="25" t="s">
        <v>158</v>
      </c>
    </row>
    <row r="40" spans="1:8" x14ac:dyDescent="0.25">
      <c r="A40" s="7"/>
      <c r="B40" s="19"/>
      <c r="C40" s="19"/>
      <c r="D40" s="19"/>
      <c r="E40" s="19"/>
      <c r="F40" s="19"/>
    </row>
    <row r="41" spans="1:8" x14ac:dyDescent="0.25">
      <c r="A41" s="27" t="s">
        <v>159</v>
      </c>
      <c r="B41" s="15">
        <f>SUM(B42:OB_CORTO_PLAZO_FIN_01)</f>
        <v>0</v>
      </c>
      <c r="C41" s="15">
        <f>SUM(C42:OB_CORTO_PLAZO_FIN_02)</f>
        <v>0</v>
      </c>
      <c r="D41" s="15">
        <f>SUM(D42:OB_CORTO_PLAZO_FIN_03)</f>
        <v>0</v>
      </c>
      <c r="E41" s="15">
        <f>SUM(E42:OB_CORTO_PLAZO_FIN_04)</f>
        <v>0</v>
      </c>
      <c r="F41" s="15">
        <f>SUM(F42:OB_CORTO_PLAZO_FIN_05)</f>
        <v>0</v>
      </c>
    </row>
    <row r="42" spans="1:8" s="32" customFormat="1" x14ac:dyDescent="0.25">
      <c r="A42" s="31" t="s">
        <v>160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8" s="32" customFormat="1" x14ac:dyDescent="0.25">
      <c r="A43" s="31" t="s">
        <v>161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8" s="32" customFormat="1" x14ac:dyDescent="0.25">
      <c r="A44" s="31" t="s">
        <v>162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8" x14ac:dyDescent="0.25">
      <c r="A45" s="35" t="s">
        <v>147</v>
      </c>
      <c r="B45" s="20"/>
      <c r="C45" s="20"/>
      <c r="D45" s="20"/>
      <c r="E45" s="20"/>
      <c r="F45" s="20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53AF447F-6938-4027-87FA-F6DE8F893585}">
      <formula1>-1.79769313486231E+100</formula1>
      <formula2>1.79769313486231E+100</formula2>
    </dataValidation>
    <dataValidation allowBlank="1" showInputMessage="1" showErrorMessage="1" prompt="Saldo al 31 de diciembre de 20XN-1 (d)" sqref="B6" xr:uid="{38C91D0A-E1E6-4546-8B97-C7E9DA3603E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C651-388D-4BA8-9389-7AA48A0E15C3}">
  <dimension ref="A1:L21"/>
  <sheetViews>
    <sheetView zoomScale="70" zoomScaleNormal="70" workbookViewId="0">
      <selection sqref="A1:K1"/>
    </sheetView>
  </sheetViews>
  <sheetFormatPr baseColWidth="10" defaultColWidth="0" defaultRowHeight="15" customHeight="1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2" s="37" customFormat="1" ht="21" x14ac:dyDescent="0.25">
      <c r="A1" s="98" t="s">
        <v>163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6"/>
    </row>
    <row r="2" spans="1:12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2" x14ac:dyDescent="0.25">
      <c r="A3" s="102" t="s">
        <v>164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x14ac:dyDescent="0.25">
      <c r="A4" s="102" t="str">
        <f>TRIMESTRE</f>
        <v>Del 1 de enero al 31 de diciembre de 2021 (b)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2" x14ac:dyDescent="0.25">
      <c r="A5" s="102" t="s">
        <v>2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2" ht="75" x14ac:dyDescent="0.25">
      <c r="A6" s="25" t="s">
        <v>165</v>
      </c>
      <c r="B6" s="25" t="s">
        <v>166</v>
      </c>
      <c r="C6" s="25" t="s">
        <v>167</v>
      </c>
      <c r="D6" s="25" t="s">
        <v>168</v>
      </c>
      <c r="E6" s="25" t="s">
        <v>169</v>
      </c>
      <c r="F6" s="25" t="s">
        <v>170</v>
      </c>
      <c r="G6" s="25" t="s">
        <v>171</v>
      </c>
      <c r="H6" s="25" t="s">
        <v>172</v>
      </c>
      <c r="I6" s="4" t="str">
        <f>MONTO1</f>
        <v>Monto pagado de la inversión al 31 de diciembre de 2021 (k)</v>
      </c>
      <c r="J6" s="4" t="str">
        <f>MONTO2</f>
        <v>Monto pagado de la inversión actualizado al 31 de diciembre de 2021 (l)</v>
      </c>
      <c r="K6" s="4" t="str">
        <f>SALDO_PENDIENTE</f>
        <v>Saldo pendiente por pagar de la inversión al 31 de diciembre de 2021 (m = g – l)</v>
      </c>
    </row>
    <row r="7" spans="1:12" x14ac:dyDescent="0.25">
      <c r="A7" s="38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2" x14ac:dyDescent="0.25">
      <c r="A8" s="6" t="s">
        <v>173</v>
      </c>
      <c r="B8" s="39"/>
      <c r="C8" s="39"/>
      <c r="D8" s="39"/>
      <c r="E8" s="15">
        <f>SUM(E9:APP_FIN_04)</f>
        <v>0</v>
      </c>
      <c r="F8" s="39"/>
      <c r="G8" s="15">
        <f>SUM(G9:APP_FIN_06)</f>
        <v>0</v>
      </c>
      <c r="H8" s="15">
        <f>SUM(H9:APP_FIN_07)</f>
        <v>0</v>
      </c>
      <c r="I8" s="15">
        <f>SUM(I9:APP_FIN_08)</f>
        <v>0</v>
      </c>
      <c r="J8" s="15">
        <f>SUM(J9:APP_FIN_09)</f>
        <v>0</v>
      </c>
      <c r="K8" s="15">
        <f>SUM(K9:APP_FIN_10)</f>
        <v>0</v>
      </c>
    </row>
    <row r="9" spans="1:12" s="32" customFormat="1" x14ac:dyDescent="0.25">
      <c r="A9" s="40" t="s">
        <v>174</v>
      </c>
      <c r="B9" s="41"/>
      <c r="C9" s="41"/>
      <c r="D9" s="41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>E9-J9</f>
        <v>0</v>
      </c>
    </row>
    <row r="10" spans="1:12" s="32" customFormat="1" x14ac:dyDescent="0.25">
      <c r="A10" s="40" t="s">
        <v>175</v>
      </c>
      <c r="B10" s="41"/>
      <c r="C10" s="41"/>
      <c r="D10" s="41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ref="K10:K12" si="0">E10-J10</f>
        <v>0</v>
      </c>
    </row>
    <row r="11" spans="1:12" s="32" customFormat="1" x14ac:dyDescent="0.25">
      <c r="A11" s="40" t="s">
        <v>176</v>
      </c>
      <c r="B11" s="41"/>
      <c r="C11" s="41"/>
      <c r="D11" s="41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0"/>
        <v>0</v>
      </c>
    </row>
    <row r="12" spans="1:12" s="32" customFormat="1" x14ac:dyDescent="0.25">
      <c r="A12" s="40" t="s">
        <v>177</v>
      </c>
      <c r="B12" s="41"/>
      <c r="C12" s="41"/>
      <c r="D12" s="41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0"/>
        <v>0</v>
      </c>
    </row>
    <row r="13" spans="1:12" x14ac:dyDescent="0.25">
      <c r="A13" s="42" t="s">
        <v>147</v>
      </c>
      <c r="B13" s="43"/>
      <c r="C13" s="43"/>
      <c r="D13" s="43"/>
      <c r="E13" s="7"/>
      <c r="F13" s="7"/>
      <c r="G13" s="7"/>
      <c r="H13" s="7"/>
      <c r="I13" s="7"/>
      <c r="J13" s="7"/>
      <c r="K13" s="7"/>
    </row>
    <row r="14" spans="1:12" x14ac:dyDescent="0.25">
      <c r="A14" s="6" t="s">
        <v>178</v>
      </c>
      <c r="B14" s="39"/>
      <c r="C14" s="39"/>
      <c r="D14" s="39"/>
      <c r="E14" s="15">
        <f>SUM(E15:OTROS_FIN_04)</f>
        <v>0</v>
      </c>
      <c r="F14" s="39"/>
      <c r="G14" s="15">
        <f>SUM(G15:OTROS_FIN_06)</f>
        <v>0</v>
      </c>
      <c r="H14" s="15">
        <f>SUM(H15:OTROS_FIN_07)</f>
        <v>0</v>
      </c>
      <c r="I14" s="15">
        <f>SUM(I15:OTROS_FIN_08)</f>
        <v>0</v>
      </c>
      <c r="J14" s="15">
        <f>SUM(J15:OTROS_FIN_09)</f>
        <v>0</v>
      </c>
      <c r="K14" s="15">
        <f>SUM(K15:OTROS_FIN_10)</f>
        <v>0</v>
      </c>
    </row>
    <row r="15" spans="1:12" s="32" customFormat="1" x14ac:dyDescent="0.25">
      <c r="A15" s="40" t="s">
        <v>179</v>
      </c>
      <c r="B15" s="41"/>
      <c r="C15" s="41"/>
      <c r="D15" s="41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>E15-J15</f>
        <v>0</v>
      </c>
    </row>
    <row r="16" spans="1:12" s="32" customFormat="1" x14ac:dyDescent="0.25">
      <c r="A16" s="40" t="s">
        <v>180</v>
      </c>
      <c r="B16" s="41"/>
      <c r="C16" s="41"/>
      <c r="D16" s="41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f t="shared" ref="K16:K18" si="1">E16-J16</f>
        <v>0</v>
      </c>
    </row>
    <row r="17" spans="1:11" s="32" customFormat="1" x14ac:dyDescent="0.25">
      <c r="A17" s="40" t="s">
        <v>181</v>
      </c>
      <c r="B17" s="41"/>
      <c r="C17" s="41"/>
      <c r="D17" s="41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f t="shared" si="1"/>
        <v>0</v>
      </c>
    </row>
    <row r="18" spans="1:11" s="32" customFormat="1" x14ac:dyDescent="0.25">
      <c r="A18" s="40" t="s">
        <v>182</v>
      </c>
      <c r="B18" s="41"/>
      <c r="C18" s="41"/>
      <c r="D18" s="41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f t="shared" si="1"/>
        <v>0</v>
      </c>
    </row>
    <row r="19" spans="1:11" x14ac:dyDescent="0.25">
      <c r="A19" s="42" t="s">
        <v>147</v>
      </c>
      <c r="B19" s="43"/>
      <c r="C19" s="43"/>
      <c r="D19" s="43"/>
      <c r="E19" s="7"/>
      <c r="F19" s="7"/>
      <c r="G19" s="7"/>
      <c r="H19" s="7"/>
      <c r="I19" s="7"/>
      <c r="J19" s="7"/>
      <c r="K19" s="7"/>
    </row>
    <row r="20" spans="1:11" x14ac:dyDescent="0.25">
      <c r="A20" s="6" t="s">
        <v>183</v>
      </c>
      <c r="B20" s="39"/>
      <c r="C20" s="39"/>
      <c r="D20" s="39"/>
      <c r="E20" s="15">
        <f>APP_T4+OTROS_T4</f>
        <v>0</v>
      </c>
      <c r="F20" s="39"/>
      <c r="G20" s="15">
        <f>APP_T6+OTROS_T6</f>
        <v>0</v>
      </c>
      <c r="H20" s="15">
        <f>APP_T7+OTROS_T7</f>
        <v>0</v>
      </c>
      <c r="I20" s="15">
        <f>APP_T8+OTROS_T8</f>
        <v>0</v>
      </c>
      <c r="J20" s="15">
        <f>APP_T9+OTROS_T9</f>
        <v>0</v>
      </c>
      <c r="K20" s="15">
        <f>APP_T10+OTROS_T10</f>
        <v>0</v>
      </c>
    </row>
    <row r="21" spans="1:11" x14ac:dyDescent="0.25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 xr:uid="{9AE9B9B0-6957-4A6F-9D9E-8B8CCA3CD45F}">
      <formula1>36526</formula1>
    </dataValidation>
    <dataValidation type="decimal" allowBlank="1" showInputMessage="1" showErrorMessage="1" sqref="E8:K20" xr:uid="{94EF32DE-34AE-4D44-9962-7494C827FF9A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032DB66D-0C13-473C-80A2-C22C5FC37E0A}"/>
    <dataValidation allowBlank="1" showInputMessage="1" showErrorMessage="1" prompt="Monto pagado de la inversión actualizado al XX de XXXX de 20XN (k)" sqref="J6" xr:uid="{278F6326-A87D-462E-AF13-093CAC8F9E33}"/>
    <dataValidation allowBlank="1" showInputMessage="1" showErrorMessage="1" prompt="Monto pagado de la inversión al XX de XXXX de 20XN (k)" sqref="I6" xr:uid="{BC72FE85-25ED-416A-AFBC-794D016E315B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10C2-185E-45E6-A7D5-6F114DEFED17}">
  <dimension ref="A1:K75"/>
  <sheetViews>
    <sheetView workbookViewId="0">
      <selection activeCell="D59" sqref="D59"/>
    </sheetView>
  </sheetViews>
  <sheetFormatPr baseColWidth="10" defaultColWidth="0" defaultRowHeight="15" zeroHeight="1" x14ac:dyDescent="0.25"/>
  <cols>
    <col min="1" max="1" width="101.42578125" customWidth="1"/>
    <col min="2" max="4" width="15.5703125" customWidth="1"/>
    <col min="5" max="11" width="0" hidden="1" customWidth="1"/>
    <col min="12" max="16384" width="10.7109375" hidden="1"/>
  </cols>
  <sheetData>
    <row r="1" spans="1:11" s="37" customFormat="1" ht="21" x14ac:dyDescent="0.25">
      <c r="A1" s="98" t="s">
        <v>184</v>
      </c>
      <c r="B1" s="98"/>
      <c r="C1" s="98"/>
      <c r="D1" s="98"/>
      <c r="E1" s="36"/>
      <c r="F1" s="36"/>
      <c r="G1" s="36"/>
      <c r="H1" s="36"/>
      <c r="I1" s="36"/>
      <c r="J1" s="36"/>
      <c r="K1" s="36"/>
    </row>
    <row r="2" spans="1:11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1"/>
    </row>
    <row r="3" spans="1:11" x14ac:dyDescent="0.25">
      <c r="A3" s="102" t="s">
        <v>185</v>
      </c>
      <c r="B3" s="103"/>
      <c r="C3" s="103"/>
      <c r="D3" s="104"/>
    </row>
    <row r="4" spans="1:11" x14ac:dyDescent="0.25">
      <c r="A4" s="102" t="str">
        <f>TRIMESTRE</f>
        <v>Del 1 de enero al 31 de diciembre de 2021 (b)</v>
      </c>
      <c r="B4" s="103"/>
      <c r="C4" s="103"/>
      <c r="D4" s="104"/>
    </row>
    <row r="5" spans="1:11" x14ac:dyDescent="0.25">
      <c r="A5" s="105" t="s">
        <v>2</v>
      </c>
      <c r="B5" s="106"/>
      <c r="C5" s="106"/>
      <c r="D5" s="107"/>
    </row>
    <row r="6" spans="1:11" x14ac:dyDescent="0.25"/>
    <row r="7" spans="1:11" ht="39" customHeight="1" x14ac:dyDescent="0.25">
      <c r="A7" s="44" t="s">
        <v>4</v>
      </c>
      <c r="B7" s="25" t="s">
        <v>186</v>
      </c>
      <c r="C7" s="25" t="s">
        <v>187</v>
      </c>
      <c r="D7" s="25" t="s">
        <v>188</v>
      </c>
    </row>
    <row r="8" spans="1:11" x14ac:dyDescent="0.25">
      <c r="A8" s="14" t="s">
        <v>189</v>
      </c>
      <c r="B8" s="45">
        <f>SUM(B9:B11)</f>
        <v>217429765.59</v>
      </c>
      <c r="C8" s="45">
        <f>SUM(C9:C11)</f>
        <v>221577921.06</v>
      </c>
      <c r="D8" s="45">
        <f t="shared" ref="D8" si="0">SUM(D9:D11)</f>
        <v>221577921.08000001</v>
      </c>
    </row>
    <row r="9" spans="1:11" x14ac:dyDescent="0.25">
      <c r="A9" s="46" t="s">
        <v>190</v>
      </c>
      <c r="B9" s="47">
        <v>217429765.59</v>
      </c>
      <c r="C9" s="47">
        <v>216333163.28</v>
      </c>
      <c r="D9" s="47">
        <v>216333163.30000001</v>
      </c>
    </row>
    <row r="10" spans="1:11" x14ac:dyDescent="0.25">
      <c r="A10" s="46" t="s">
        <v>191</v>
      </c>
      <c r="B10" s="47">
        <v>0</v>
      </c>
      <c r="C10" s="47">
        <f>2068544.52+3176213.26</f>
        <v>5244757.7799999993</v>
      </c>
      <c r="D10" s="47">
        <v>5244757.78</v>
      </c>
    </row>
    <row r="11" spans="1:11" x14ac:dyDescent="0.25">
      <c r="A11" s="46" t="s">
        <v>192</v>
      </c>
      <c r="B11" s="47">
        <f>B44</f>
        <v>0</v>
      </c>
      <c r="C11" s="47"/>
      <c r="D11" s="47"/>
    </row>
    <row r="12" spans="1:11" x14ac:dyDescent="0.25">
      <c r="A12" s="9"/>
      <c r="B12" s="19"/>
      <c r="C12" s="19"/>
      <c r="D12" s="19"/>
    </row>
    <row r="13" spans="1:11" x14ac:dyDescent="0.25">
      <c r="A13" s="14" t="s">
        <v>193</v>
      </c>
      <c r="B13" s="45">
        <f>B14+B15</f>
        <v>217429765.59</v>
      </c>
      <c r="C13" s="45">
        <f t="shared" ref="C13:D13" si="1">C14+C15</f>
        <v>246020907.77000001</v>
      </c>
      <c r="D13" s="45">
        <f t="shared" si="1"/>
        <v>229720265.66</v>
      </c>
    </row>
    <row r="14" spans="1:11" x14ac:dyDescent="0.25">
      <c r="A14" s="46" t="s">
        <v>194</v>
      </c>
      <c r="B14" s="47">
        <v>217429765.59</v>
      </c>
      <c r="C14" s="47">
        <f>187518661.65+48570611.75</f>
        <v>236089273.40000001</v>
      </c>
      <c r="D14" s="47">
        <f>223527460.18</f>
        <v>223527460.18000001</v>
      </c>
    </row>
    <row r="15" spans="1:11" x14ac:dyDescent="0.25">
      <c r="A15" s="46" t="s">
        <v>195</v>
      </c>
      <c r="B15" s="47">
        <v>0</v>
      </c>
      <c r="C15" s="47">
        <f>4072058.77+5859575.6</f>
        <v>9931634.3699999992</v>
      </c>
      <c r="D15" s="47">
        <f>2159365.56+4033439.92</f>
        <v>6192805.4800000004</v>
      </c>
    </row>
    <row r="16" spans="1:11" x14ac:dyDescent="0.25">
      <c r="A16" s="9"/>
      <c r="B16" s="19"/>
      <c r="C16" s="19"/>
      <c r="D16" s="19"/>
    </row>
    <row r="17" spans="1:4" x14ac:dyDescent="0.25">
      <c r="A17" s="14" t="s">
        <v>196</v>
      </c>
      <c r="B17" s="48">
        <f>B18+B19</f>
        <v>0</v>
      </c>
      <c r="C17" s="45">
        <f t="shared" ref="C17" si="2">C18+C19</f>
        <v>48570611.75</v>
      </c>
      <c r="D17" s="45">
        <f>D18+D19</f>
        <v>47696096.990000002</v>
      </c>
    </row>
    <row r="18" spans="1:4" x14ac:dyDescent="0.25">
      <c r="A18" s="46" t="s">
        <v>197</v>
      </c>
      <c r="B18" s="49">
        <v>0</v>
      </c>
      <c r="C18" s="47">
        <f>35177.05+12795490.02+35739944.68</f>
        <v>48570611.75</v>
      </c>
      <c r="D18" s="47">
        <f>35177.05+11920975.26+35739944.68</f>
        <v>47696096.990000002</v>
      </c>
    </row>
    <row r="19" spans="1:4" x14ac:dyDescent="0.25">
      <c r="A19" s="46" t="s">
        <v>198</v>
      </c>
      <c r="B19" s="49">
        <v>0</v>
      </c>
      <c r="C19" s="47">
        <v>0</v>
      </c>
      <c r="D19" s="50">
        <v>0</v>
      </c>
    </row>
    <row r="20" spans="1:4" x14ac:dyDescent="0.25">
      <c r="A20" s="9"/>
      <c r="B20" s="19"/>
      <c r="C20" s="19"/>
      <c r="D20" s="19"/>
    </row>
    <row r="21" spans="1:4" x14ac:dyDescent="0.25">
      <c r="A21" s="14" t="s">
        <v>199</v>
      </c>
      <c r="B21" s="45">
        <f>B8-B13+B17</f>
        <v>0</v>
      </c>
      <c r="C21" s="45">
        <f>C8-C13+C17</f>
        <v>24127625.039999992</v>
      </c>
      <c r="D21" s="45">
        <f t="shared" ref="D21" si="3">D8-D13+D17</f>
        <v>39553752.410000019</v>
      </c>
    </row>
    <row r="22" spans="1:4" x14ac:dyDescent="0.25">
      <c r="A22" s="14"/>
      <c r="B22" s="19"/>
      <c r="C22" s="19"/>
      <c r="D22" s="19"/>
    </row>
    <row r="23" spans="1:4" x14ac:dyDescent="0.25">
      <c r="A23" s="14" t="s">
        <v>200</v>
      </c>
      <c r="B23" s="45">
        <f>B21-B11</f>
        <v>0</v>
      </c>
      <c r="C23" s="45">
        <f>+C21-C11</f>
        <v>24127625.039999992</v>
      </c>
      <c r="D23" s="45">
        <f t="shared" ref="D23" si="4">D21-D11</f>
        <v>39553752.410000019</v>
      </c>
    </row>
    <row r="24" spans="1:4" x14ac:dyDescent="0.25">
      <c r="A24" s="14"/>
      <c r="B24" s="51"/>
      <c r="C24" s="51"/>
      <c r="D24" s="51"/>
    </row>
    <row r="25" spans="1:4" x14ac:dyDescent="0.25">
      <c r="A25" s="52" t="s">
        <v>201</v>
      </c>
      <c r="B25" s="45">
        <f>B23-B17</f>
        <v>0</v>
      </c>
      <c r="C25" s="45">
        <f>C23-C17</f>
        <v>-24442986.710000008</v>
      </c>
      <c r="D25" s="45">
        <f>D23-D17</f>
        <v>-8142344.5799999833</v>
      </c>
    </row>
    <row r="26" spans="1:4" x14ac:dyDescent="0.25">
      <c r="A26" s="53"/>
      <c r="B26" s="20"/>
      <c r="C26" s="20"/>
      <c r="D26" s="20"/>
    </row>
    <row r="27" spans="1:4" x14ac:dyDescent="0.25">
      <c r="A27" s="1"/>
    </row>
    <row r="28" spans="1:4" ht="30" customHeight="1" x14ac:dyDescent="0.25">
      <c r="A28" s="44" t="s">
        <v>202</v>
      </c>
      <c r="B28" s="25" t="s">
        <v>203</v>
      </c>
      <c r="C28" s="25" t="s">
        <v>187</v>
      </c>
      <c r="D28" s="25" t="s">
        <v>204</v>
      </c>
    </row>
    <row r="29" spans="1:4" x14ac:dyDescent="0.25">
      <c r="A29" s="14" t="s">
        <v>205</v>
      </c>
      <c r="B29" s="15">
        <f>B30+B31</f>
        <v>0</v>
      </c>
      <c r="C29" s="15">
        <f t="shared" ref="C29:D29" si="5">C30+C31</f>
        <v>0</v>
      </c>
      <c r="D29" s="15">
        <f t="shared" si="5"/>
        <v>0</v>
      </c>
    </row>
    <row r="30" spans="1:4" x14ac:dyDescent="0.25">
      <c r="A30" s="46" t="s">
        <v>206</v>
      </c>
      <c r="B30" s="10">
        <v>0</v>
      </c>
      <c r="C30" s="10">
        <v>0</v>
      </c>
      <c r="D30" s="10">
        <v>0</v>
      </c>
    </row>
    <row r="31" spans="1:4" x14ac:dyDescent="0.25">
      <c r="A31" s="46" t="s">
        <v>207</v>
      </c>
      <c r="B31" s="10">
        <v>0</v>
      </c>
      <c r="C31" s="10">
        <v>0</v>
      </c>
      <c r="D31" s="10">
        <v>0</v>
      </c>
    </row>
    <row r="32" spans="1:4" x14ac:dyDescent="0.25">
      <c r="A32" s="7"/>
      <c r="B32" s="7"/>
      <c r="C32" s="7"/>
      <c r="D32" s="7"/>
    </row>
    <row r="33" spans="1:4" x14ac:dyDescent="0.25">
      <c r="A33" s="14" t="s">
        <v>208</v>
      </c>
      <c r="B33" s="15">
        <f>B25+B29</f>
        <v>0</v>
      </c>
      <c r="C33" s="15">
        <f t="shared" ref="C33:D33" si="6">C25+C29</f>
        <v>-24442986.710000008</v>
      </c>
      <c r="D33" s="15">
        <f t="shared" si="6"/>
        <v>-8142344.5799999833</v>
      </c>
    </row>
    <row r="34" spans="1:4" x14ac:dyDescent="0.25">
      <c r="A34" s="21"/>
      <c r="B34" s="21"/>
      <c r="C34" s="21"/>
      <c r="D34" s="21"/>
    </row>
    <row r="35" spans="1:4" x14ac:dyDescent="0.25">
      <c r="A35" s="1"/>
    </row>
    <row r="36" spans="1:4" ht="30" x14ac:dyDescent="0.25">
      <c r="A36" s="44" t="s">
        <v>202</v>
      </c>
      <c r="B36" s="25" t="s">
        <v>209</v>
      </c>
      <c r="C36" s="25" t="s">
        <v>187</v>
      </c>
      <c r="D36" s="25" t="s">
        <v>188</v>
      </c>
    </row>
    <row r="37" spans="1:4" x14ac:dyDescent="0.25">
      <c r="A37" s="14" t="s">
        <v>210</v>
      </c>
      <c r="B37" s="15">
        <f>B38+B39</f>
        <v>0</v>
      </c>
      <c r="C37" s="15">
        <f t="shared" ref="C37:D37" si="7">C38+C39</f>
        <v>0</v>
      </c>
      <c r="D37" s="15">
        <f t="shared" si="7"/>
        <v>0</v>
      </c>
    </row>
    <row r="38" spans="1:4" x14ac:dyDescent="0.25">
      <c r="A38" s="46" t="s">
        <v>211</v>
      </c>
      <c r="B38" s="10">
        <v>0</v>
      </c>
      <c r="C38" s="10">
        <v>0</v>
      </c>
      <c r="D38" s="10">
        <v>0</v>
      </c>
    </row>
    <row r="39" spans="1:4" x14ac:dyDescent="0.25">
      <c r="A39" s="46" t="s">
        <v>212</v>
      </c>
      <c r="B39" s="10">
        <v>0</v>
      </c>
      <c r="C39" s="10">
        <v>0</v>
      </c>
      <c r="D39" s="10">
        <v>0</v>
      </c>
    </row>
    <row r="40" spans="1:4" x14ac:dyDescent="0.25">
      <c r="A40" s="14" t="s">
        <v>213</v>
      </c>
      <c r="B40" s="15">
        <f>B41+B42</f>
        <v>0</v>
      </c>
      <c r="C40" s="15">
        <f t="shared" ref="C40:D40" si="8">C41+C42</f>
        <v>0</v>
      </c>
      <c r="D40" s="15">
        <f t="shared" si="8"/>
        <v>0</v>
      </c>
    </row>
    <row r="41" spans="1:4" x14ac:dyDescent="0.25">
      <c r="A41" s="46" t="s">
        <v>214</v>
      </c>
      <c r="B41" s="10">
        <v>0</v>
      </c>
      <c r="C41" s="10">
        <v>0</v>
      </c>
      <c r="D41" s="10">
        <v>0</v>
      </c>
    </row>
    <row r="42" spans="1:4" x14ac:dyDescent="0.25">
      <c r="A42" s="46" t="s">
        <v>215</v>
      </c>
      <c r="B42" s="10">
        <v>0</v>
      </c>
      <c r="C42" s="10">
        <v>0</v>
      </c>
      <c r="D42" s="10">
        <v>0</v>
      </c>
    </row>
    <row r="43" spans="1:4" x14ac:dyDescent="0.25">
      <c r="A43" s="7"/>
      <c r="B43" s="7"/>
      <c r="C43" s="7"/>
      <c r="D43" s="7"/>
    </row>
    <row r="44" spans="1:4" x14ac:dyDescent="0.25">
      <c r="A44" s="14" t="s">
        <v>216</v>
      </c>
      <c r="B44" s="15">
        <f>B37-B40</f>
        <v>0</v>
      </c>
      <c r="C44" s="15">
        <f t="shared" ref="C44:D44" si="9">C37-C40</f>
        <v>0</v>
      </c>
      <c r="D44" s="15">
        <f t="shared" si="9"/>
        <v>0</v>
      </c>
    </row>
    <row r="45" spans="1:4" x14ac:dyDescent="0.25">
      <c r="A45" s="54"/>
      <c r="B45" s="21"/>
      <c r="C45" s="21"/>
      <c r="D45" s="21"/>
    </row>
    <row r="46" spans="1:4" x14ac:dyDescent="0.25"/>
    <row r="47" spans="1:4" ht="30" x14ac:dyDescent="0.25">
      <c r="A47" s="44" t="s">
        <v>202</v>
      </c>
      <c r="B47" s="25" t="s">
        <v>209</v>
      </c>
      <c r="C47" s="25" t="s">
        <v>187</v>
      </c>
      <c r="D47" s="25" t="s">
        <v>188</v>
      </c>
    </row>
    <row r="48" spans="1:4" x14ac:dyDescent="0.25">
      <c r="A48" s="55" t="s">
        <v>217</v>
      </c>
      <c r="B48" s="56">
        <f>B9</f>
        <v>217429765.59</v>
      </c>
      <c r="C48" s="56">
        <f>C9</f>
        <v>216333163.28</v>
      </c>
      <c r="D48" s="56">
        <f t="shared" ref="D48" si="10">D9</f>
        <v>216333163.30000001</v>
      </c>
    </row>
    <row r="49" spans="1:4" x14ac:dyDescent="0.25">
      <c r="A49" s="57" t="s">
        <v>218</v>
      </c>
      <c r="B49" s="15">
        <f>B50-B51</f>
        <v>0</v>
      </c>
      <c r="C49" s="15">
        <f t="shared" ref="C49:D49" si="11">C50-C51</f>
        <v>0</v>
      </c>
      <c r="D49" s="15">
        <f t="shared" si="11"/>
        <v>0</v>
      </c>
    </row>
    <row r="50" spans="1:4" x14ac:dyDescent="0.25">
      <c r="A50" s="58" t="s">
        <v>211</v>
      </c>
      <c r="B50" s="10">
        <v>0</v>
      </c>
      <c r="C50" s="10">
        <v>0</v>
      </c>
      <c r="D50" s="10">
        <v>0</v>
      </c>
    </row>
    <row r="51" spans="1:4" x14ac:dyDescent="0.25">
      <c r="A51" s="58" t="s">
        <v>214</v>
      </c>
      <c r="B51" s="10">
        <v>0</v>
      </c>
      <c r="C51" s="10">
        <v>0</v>
      </c>
      <c r="D51" s="10">
        <v>0</v>
      </c>
    </row>
    <row r="52" spans="1:4" x14ac:dyDescent="0.25">
      <c r="A52" s="7"/>
      <c r="B52" s="7"/>
      <c r="C52" s="7"/>
      <c r="D52" s="7"/>
    </row>
    <row r="53" spans="1:4" x14ac:dyDescent="0.25">
      <c r="A53" s="46" t="s">
        <v>194</v>
      </c>
      <c r="B53" s="10">
        <f>B14</f>
        <v>217429765.59</v>
      </c>
      <c r="C53" s="10">
        <f>C14</f>
        <v>236089273.40000001</v>
      </c>
      <c r="D53" s="10">
        <f t="shared" ref="D53" si="12">D14</f>
        <v>223527460.18000001</v>
      </c>
    </row>
    <row r="54" spans="1:4" x14ac:dyDescent="0.25">
      <c r="A54" s="7"/>
      <c r="B54" s="7"/>
      <c r="C54" s="7"/>
      <c r="D54" s="7"/>
    </row>
    <row r="55" spans="1:4" x14ac:dyDescent="0.25">
      <c r="A55" s="46" t="s">
        <v>197</v>
      </c>
      <c r="B55" s="59">
        <f>B18</f>
        <v>0</v>
      </c>
      <c r="C55" s="10">
        <f t="shared" ref="C55:D55" si="13">C18</f>
        <v>48570611.75</v>
      </c>
      <c r="D55" s="10">
        <f t="shared" si="13"/>
        <v>47696096.990000002</v>
      </c>
    </row>
    <row r="56" spans="1:4" x14ac:dyDescent="0.25">
      <c r="A56" s="7"/>
      <c r="B56" s="7"/>
      <c r="C56" s="7"/>
      <c r="D56" s="7"/>
    </row>
    <row r="57" spans="1:4" ht="32.25" customHeight="1" x14ac:dyDescent="0.25">
      <c r="A57" s="52" t="s">
        <v>219</v>
      </c>
      <c r="B57" s="15">
        <f>B48+B49-B53+B55</f>
        <v>0</v>
      </c>
      <c r="C57" s="15">
        <f>C48+C49-C53+C55</f>
        <v>28814501.629999995</v>
      </c>
      <c r="D57" s="15">
        <f t="shared" ref="D57" si="14">D48+D49-D53+D55</f>
        <v>40501800.110000007</v>
      </c>
    </row>
    <row r="58" spans="1:4" x14ac:dyDescent="0.25">
      <c r="A58" s="60"/>
      <c r="B58" s="60"/>
      <c r="C58" s="60"/>
      <c r="D58" s="60"/>
    </row>
    <row r="59" spans="1:4" ht="30" customHeight="1" x14ac:dyDescent="0.25">
      <c r="A59" s="52" t="s">
        <v>220</v>
      </c>
      <c r="B59" s="15">
        <f>B57-B49</f>
        <v>0</v>
      </c>
      <c r="C59" s="15">
        <f t="shared" ref="C59:D59" si="15">C57-C49</f>
        <v>28814501.629999995</v>
      </c>
      <c r="D59" s="15">
        <f t="shared" si="15"/>
        <v>40501800.110000007</v>
      </c>
    </row>
    <row r="60" spans="1:4" x14ac:dyDescent="0.25">
      <c r="A60" s="21"/>
      <c r="B60" s="21"/>
      <c r="C60" s="21"/>
      <c r="D60" s="21"/>
    </row>
    <row r="61" spans="1:4" x14ac:dyDescent="0.25"/>
    <row r="62" spans="1:4" ht="30" x14ac:dyDescent="0.25">
      <c r="A62" s="44" t="s">
        <v>202</v>
      </c>
      <c r="B62" s="25" t="s">
        <v>209</v>
      </c>
      <c r="C62" s="25" t="s">
        <v>187</v>
      </c>
      <c r="D62" s="25" t="s">
        <v>188</v>
      </c>
    </row>
    <row r="63" spans="1:4" x14ac:dyDescent="0.25">
      <c r="A63" s="55" t="s">
        <v>191</v>
      </c>
      <c r="B63" s="61">
        <f>B10</f>
        <v>0</v>
      </c>
      <c r="C63" s="61">
        <f t="shared" ref="C63:D63" si="16">C10</f>
        <v>5244757.7799999993</v>
      </c>
      <c r="D63" s="61">
        <f t="shared" si="16"/>
        <v>5244757.78</v>
      </c>
    </row>
    <row r="64" spans="1:4" ht="30" x14ac:dyDescent="0.25">
      <c r="A64" s="57" t="s">
        <v>221</v>
      </c>
      <c r="B64" s="45">
        <f>B65-B66</f>
        <v>0</v>
      </c>
      <c r="C64" s="45">
        <f>C65-C66</f>
        <v>0</v>
      </c>
      <c r="D64" s="45">
        <f t="shared" ref="D64" si="17">D65-D66</f>
        <v>0</v>
      </c>
    </row>
    <row r="65" spans="1:4" x14ac:dyDescent="0.25">
      <c r="A65" s="58" t="s">
        <v>212</v>
      </c>
      <c r="B65" s="47">
        <v>0</v>
      </c>
      <c r="C65" s="47">
        <v>0</v>
      </c>
      <c r="D65" s="47">
        <v>0</v>
      </c>
    </row>
    <row r="66" spans="1:4" x14ac:dyDescent="0.25">
      <c r="A66" s="58" t="s">
        <v>215</v>
      </c>
      <c r="B66" s="47">
        <v>0</v>
      </c>
      <c r="C66" s="47">
        <v>0</v>
      </c>
      <c r="D66" s="47">
        <v>0</v>
      </c>
    </row>
    <row r="67" spans="1:4" x14ac:dyDescent="0.25">
      <c r="A67" s="7"/>
      <c r="B67" s="19"/>
      <c r="C67" s="19"/>
      <c r="D67" s="19"/>
    </row>
    <row r="68" spans="1:4" x14ac:dyDescent="0.25">
      <c r="A68" s="46" t="s">
        <v>222</v>
      </c>
      <c r="B68" s="47">
        <f>B15</f>
        <v>0</v>
      </c>
      <c r="C68" s="47">
        <f t="shared" ref="C68:D68" si="18">C15</f>
        <v>9931634.3699999992</v>
      </c>
      <c r="D68" s="47">
        <f t="shared" si="18"/>
        <v>6192805.4800000004</v>
      </c>
    </row>
    <row r="69" spans="1:4" x14ac:dyDescent="0.25">
      <c r="A69" s="7"/>
      <c r="B69" s="19"/>
      <c r="C69" s="19"/>
      <c r="D69" s="19"/>
    </row>
    <row r="70" spans="1:4" x14ac:dyDescent="0.25">
      <c r="A70" s="46" t="s">
        <v>198</v>
      </c>
      <c r="B70" s="49">
        <f>B19</f>
        <v>0</v>
      </c>
      <c r="C70" s="47">
        <f t="shared" ref="C70:D70" si="19">C19</f>
        <v>0</v>
      </c>
      <c r="D70" s="47">
        <f t="shared" si="19"/>
        <v>0</v>
      </c>
    </row>
    <row r="71" spans="1:4" x14ac:dyDescent="0.25">
      <c r="A71" s="7"/>
      <c r="B71" s="19"/>
      <c r="C71" s="19"/>
      <c r="D71" s="19"/>
    </row>
    <row r="72" spans="1:4" ht="30" customHeight="1" x14ac:dyDescent="0.25">
      <c r="A72" s="52" t="s">
        <v>223</v>
      </c>
      <c r="B72" s="45">
        <f>B63+B64-B68+B70</f>
        <v>0</v>
      </c>
      <c r="C72" s="45">
        <f t="shared" ref="C72:D72" si="20">C63+C64-C68+C70</f>
        <v>-4686876.59</v>
      </c>
      <c r="D72" s="45">
        <f t="shared" si="20"/>
        <v>-948047.70000000019</v>
      </c>
    </row>
    <row r="73" spans="1:4" x14ac:dyDescent="0.25">
      <c r="A73" s="7"/>
      <c r="B73" s="19"/>
      <c r="C73" s="19"/>
      <c r="D73" s="19"/>
    </row>
    <row r="74" spans="1:4" ht="30" customHeight="1" x14ac:dyDescent="0.25">
      <c r="A74" s="52" t="s">
        <v>224</v>
      </c>
      <c r="B74" s="45">
        <f>B72-B64</f>
        <v>0</v>
      </c>
      <c r="C74" s="45">
        <f>C72-C64</f>
        <v>-4686876.59</v>
      </c>
      <c r="D74" s="45">
        <f t="shared" ref="D74" si="21">D72-D64</f>
        <v>-948047.70000000019</v>
      </c>
    </row>
    <row r="75" spans="1:4" x14ac:dyDescent="0.25">
      <c r="A75" s="21"/>
      <c r="B75" s="20"/>
      <c r="C75" s="20"/>
      <c r="D75" s="20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 xr:uid="{3425F7B3-E689-45F5-94B9-60AB4966C7EF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BFA7-CF0C-48B5-8FDE-02E8F6F983F8}">
  <dimension ref="A1:H76"/>
  <sheetViews>
    <sheetView workbookViewId="0">
      <selection sqref="A1:G1"/>
    </sheetView>
  </sheetViews>
  <sheetFormatPr baseColWidth="10" defaultColWidth="0" defaultRowHeight="15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37" customFormat="1" ht="21.75" customHeight="1" x14ac:dyDescent="0.25">
      <c r="A1" s="114" t="s">
        <v>225</v>
      </c>
      <c r="B1" s="114"/>
      <c r="C1" s="114"/>
      <c r="D1" s="114"/>
      <c r="E1" s="114"/>
      <c r="F1" s="114"/>
      <c r="G1" s="114"/>
    </row>
    <row r="2" spans="1:8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0"/>
      <c r="E2" s="100"/>
      <c r="F2" s="100"/>
      <c r="G2" s="101"/>
    </row>
    <row r="3" spans="1:8" x14ac:dyDescent="0.25">
      <c r="A3" s="102" t="s">
        <v>226</v>
      </c>
      <c r="B3" s="103"/>
      <c r="C3" s="103"/>
      <c r="D3" s="103"/>
      <c r="E3" s="103"/>
      <c r="F3" s="103"/>
      <c r="G3" s="104"/>
    </row>
    <row r="4" spans="1:8" x14ac:dyDescent="0.25">
      <c r="A4" s="102" t="str">
        <f>TRIMESTRE</f>
        <v>Del 1 de enero al 31 de diciembre de 2021 (b)</v>
      </c>
      <c r="B4" s="103"/>
      <c r="C4" s="103"/>
      <c r="D4" s="103"/>
      <c r="E4" s="103"/>
      <c r="F4" s="103"/>
      <c r="G4" s="104"/>
    </row>
    <row r="5" spans="1:8" x14ac:dyDescent="0.25">
      <c r="A5" s="105" t="s">
        <v>2</v>
      </c>
      <c r="B5" s="106"/>
      <c r="C5" s="106"/>
      <c r="D5" s="106"/>
      <c r="E5" s="106"/>
      <c r="F5" s="106"/>
      <c r="G5" s="107"/>
    </row>
    <row r="6" spans="1:8" x14ac:dyDescent="0.25">
      <c r="A6" s="111" t="s">
        <v>227</v>
      </c>
      <c r="B6" s="113" t="s">
        <v>228</v>
      </c>
      <c r="C6" s="113"/>
      <c r="D6" s="113"/>
      <c r="E6" s="113"/>
      <c r="F6" s="113"/>
      <c r="G6" s="113" t="s">
        <v>229</v>
      </c>
    </row>
    <row r="7" spans="1:8" ht="30" x14ac:dyDescent="0.25">
      <c r="A7" s="112"/>
      <c r="B7" s="62" t="s">
        <v>230</v>
      </c>
      <c r="C7" s="25" t="s">
        <v>231</v>
      </c>
      <c r="D7" s="62" t="s">
        <v>232</v>
      </c>
      <c r="E7" s="62" t="s">
        <v>187</v>
      </c>
      <c r="F7" s="62" t="s">
        <v>233</v>
      </c>
      <c r="G7" s="113"/>
    </row>
    <row r="8" spans="1:8" x14ac:dyDescent="0.25">
      <c r="A8" s="63" t="s">
        <v>234</v>
      </c>
      <c r="B8" s="19"/>
      <c r="C8" s="19"/>
      <c r="D8" s="19"/>
      <c r="E8" s="19"/>
      <c r="F8" s="19"/>
      <c r="G8" s="19"/>
    </row>
    <row r="9" spans="1:8" x14ac:dyDescent="0.25">
      <c r="A9" s="46" t="s">
        <v>235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>F9-B9</f>
        <v>0</v>
      </c>
      <c r="H9" s="64"/>
    </row>
    <row r="10" spans="1:8" x14ac:dyDescent="0.25">
      <c r="A10" s="46" t="s">
        <v>236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ref="G10:G15" si="0">F10-B10</f>
        <v>0</v>
      </c>
    </row>
    <row r="11" spans="1:8" x14ac:dyDescent="0.25">
      <c r="A11" s="46" t="s">
        <v>237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8" x14ac:dyDescent="0.25">
      <c r="A12" s="46" t="s">
        <v>238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8" x14ac:dyDescent="0.25">
      <c r="A13" s="46" t="s">
        <v>239</v>
      </c>
      <c r="B13" s="10">
        <v>6321000</v>
      </c>
      <c r="C13" s="10">
        <v>1853123.94</v>
      </c>
      <c r="D13" s="10">
        <v>8174123.9399999995</v>
      </c>
      <c r="E13" s="10">
        <v>6396542.0499999998</v>
      </c>
      <c r="F13" s="10">
        <v>6396542.0499999998</v>
      </c>
      <c r="G13" s="10">
        <f>F13-B13</f>
        <v>75542.049999999814</v>
      </c>
    </row>
    <row r="14" spans="1:8" x14ac:dyDescent="0.25">
      <c r="A14" s="46" t="s">
        <v>240</v>
      </c>
      <c r="B14" s="10">
        <v>2115600</v>
      </c>
      <c r="C14" s="10">
        <v>0</v>
      </c>
      <c r="D14" s="10">
        <v>2115600</v>
      </c>
      <c r="E14" s="10">
        <v>2662430.63</v>
      </c>
      <c r="F14" s="10">
        <v>2662430.63</v>
      </c>
      <c r="G14" s="10">
        <f t="shared" si="0"/>
        <v>546830.62999999989</v>
      </c>
    </row>
    <row r="15" spans="1:8" x14ac:dyDescent="0.25">
      <c r="A15" s="46" t="s">
        <v>241</v>
      </c>
      <c r="B15" s="10">
        <v>208993165.59</v>
      </c>
      <c r="C15" s="10">
        <v>0</v>
      </c>
      <c r="D15" s="10">
        <v>208993165.59</v>
      </c>
      <c r="E15" s="10">
        <v>207274190.59999993</v>
      </c>
      <c r="F15" s="10">
        <v>207274190.59999993</v>
      </c>
      <c r="G15" s="10">
        <f t="shared" si="0"/>
        <v>-1718974.9900000691</v>
      </c>
    </row>
    <row r="16" spans="1:8" x14ac:dyDescent="0.25">
      <c r="A16" s="65" t="s">
        <v>242</v>
      </c>
      <c r="B16" s="10">
        <f>SUM(B17:B27)</f>
        <v>0</v>
      </c>
      <c r="C16" s="10">
        <f t="shared" ref="C16:F16" si="1">SUM(C17:C27)</f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>SUM(G17:G27)</f>
        <v>0</v>
      </c>
    </row>
    <row r="17" spans="1:7" x14ac:dyDescent="0.25">
      <c r="A17" s="66" t="s">
        <v>243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>F17-B17</f>
        <v>0</v>
      </c>
    </row>
    <row r="18" spans="1:7" x14ac:dyDescent="0.25">
      <c r="A18" s="66" t="s">
        <v>244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ref="G18:G27" si="2">F18-B18</f>
        <v>0</v>
      </c>
    </row>
    <row r="19" spans="1:7" x14ac:dyDescent="0.25">
      <c r="A19" s="66" t="s">
        <v>245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x14ac:dyDescent="0.25">
      <c r="A20" s="66" t="s">
        <v>246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x14ac:dyDescent="0.25">
      <c r="A21" s="66" t="s">
        <v>247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x14ac:dyDescent="0.25">
      <c r="A22" s="66" t="s">
        <v>248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x14ac:dyDescent="0.25">
      <c r="A23" s="66" t="s">
        <v>249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x14ac:dyDescent="0.25">
      <c r="A24" s="66" t="s">
        <v>250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x14ac:dyDescent="0.25">
      <c r="A25" s="66" t="s">
        <v>251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x14ac:dyDescent="0.25">
      <c r="A26" s="66" t="s">
        <v>252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x14ac:dyDescent="0.25">
      <c r="A27" s="66" t="s">
        <v>253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x14ac:dyDescent="0.25">
      <c r="A28" s="46" t="s">
        <v>254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f t="shared" ref="G28" si="3">SUM(G29:G33)</f>
        <v>0</v>
      </c>
    </row>
    <row r="29" spans="1:7" x14ac:dyDescent="0.25">
      <c r="A29" s="66" t="s">
        <v>255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>F29-B29</f>
        <v>0</v>
      </c>
    </row>
    <row r="30" spans="1:7" x14ac:dyDescent="0.25">
      <c r="A30" s="66" t="s">
        <v>256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>F30-B30</f>
        <v>0</v>
      </c>
    </row>
    <row r="31" spans="1:7" x14ac:dyDescent="0.25">
      <c r="A31" s="66" t="s">
        <v>257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ref="G31:G34" si="4">F31-B31</f>
        <v>0</v>
      </c>
    </row>
    <row r="32" spans="1:7" x14ac:dyDescent="0.25">
      <c r="A32" s="66" t="s">
        <v>258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8" x14ac:dyDescent="0.25">
      <c r="A33" s="66" t="s">
        <v>259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8" x14ac:dyDescent="0.25">
      <c r="A34" s="46" t="s">
        <v>260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4"/>
        <v>0</v>
      </c>
    </row>
    <row r="35" spans="1:8" x14ac:dyDescent="0.25">
      <c r="A35" s="46" t="s">
        <v>261</v>
      </c>
      <c r="B35" s="10">
        <f>B36</f>
        <v>0</v>
      </c>
      <c r="C35" s="10">
        <f t="shared" ref="C35:F35" si="5">C36</f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>G36</f>
        <v>0</v>
      </c>
    </row>
    <row r="36" spans="1:8" x14ac:dyDescent="0.25">
      <c r="A36" s="66" t="s">
        <v>262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8" x14ac:dyDescent="0.25">
      <c r="A37" s="46" t="s">
        <v>263</v>
      </c>
      <c r="B37" s="10">
        <f>B38+B39</f>
        <v>0</v>
      </c>
      <c r="C37" s="10">
        <f t="shared" ref="C37:G37" si="6">C38+C39</f>
        <v>73953638.129999995</v>
      </c>
      <c r="D37" s="10">
        <f t="shared" si="6"/>
        <v>73953638.129999995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8" x14ac:dyDescent="0.25">
      <c r="A38" s="66" t="s">
        <v>264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>F38-B38</f>
        <v>0</v>
      </c>
    </row>
    <row r="39" spans="1:8" x14ac:dyDescent="0.25">
      <c r="A39" s="66" t="s">
        <v>265</v>
      </c>
      <c r="B39" s="10">
        <v>0</v>
      </c>
      <c r="C39" s="10">
        <v>73953638.129999995</v>
      </c>
      <c r="D39" s="10">
        <v>73953638.129999995</v>
      </c>
      <c r="E39" s="10">
        <v>0</v>
      </c>
      <c r="F39" s="10">
        <v>0</v>
      </c>
      <c r="G39" s="10">
        <f>F39-B39</f>
        <v>0</v>
      </c>
    </row>
    <row r="40" spans="1:8" x14ac:dyDescent="0.25">
      <c r="A40" s="7"/>
      <c r="B40" s="10"/>
      <c r="C40" s="10"/>
      <c r="D40" s="10"/>
      <c r="E40" s="10"/>
      <c r="F40" s="10"/>
      <c r="G40" s="10"/>
    </row>
    <row r="41" spans="1:8" x14ac:dyDescent="0.25">
      <c r="A41" s="14" t="s">
        <v>266</v>
      </c>
      <c r="B41" s="15">
        <f>SUM(B9,B10,B11,B12,B13,B14,B15,B16,B28,B34,B35,B37)</f>
        <v>217429765.59</v>
      </c>
      <c r="C41" s="15">
        <f t="shared" ref="C41:D41" si="7">SUM(C9,C10,C11,C12,C13,C14,C15,C16,C28,C34,C35,C37)</f>
        <v>75806762.069999993</v>
      </c>
      <c r="D41" s="15">
        <f t="shared" si="7"/>
        <v>293236527.65999997</v>
      </c>
      <c r="E41" s="15">
        <f>SUM(E9,E10,E11,E12,E13,E14,E15,E16,E28,E34,E35,E37)</f>
        <v>216333163.27999994</v>
      </c>
      <c r="F41" s="15">
        <f>SUM(F9,F10,F11,F12,F13,F14,F15,F16,F28,F34,F35,F37)</f>
        <v>216333163.27999994</v>
      </c>
      <c r="G41" s="15">
        <f>SUM(G9,G10,G11,G12,G13,G14,G15,G16,G28,G34,G35,G37)</f>
        <v>-1096602.3100000694</v>
      </c>
    </row>
    <row r="42" spans="1:8" x14ac:dyDescent="0.25">
      <c r="A42" s="14" t="s">
        <v>267</v>
      </c>
      <c r="B42" s="39"/>
      <c r="C42" s="39"/>
      <c r="D42" s="39"/>
      <c r="E42" s="39"/>
      <c r="F42" s="39"/>
      <c r="G42" s="15">
        <f>IF(G41&gt;0,G41,0)</f>
        <v>0</v>
      </c>
      <c r="H42" s="64"/>
    </row>
    <row r="43" spans="1:8" x14ac:dyDescent="0.25">
      <c r="A43" s="7"/>
      <c r="B43" s="7"/>
      <c r="C43" s="7"/>
      <c r="D43" s="7"/>
      <c r="E43" s="7"/>
      <c r="F43" s="7"/>
      <c r="G43" s="7"/>
    </row>
    <row r="44" spans="1:8" x14ac:dyDescent="0.25">
      <c r="A44" s="14" t="s">
        <v>268</v>
      </c>
      <c r="B44" s="7"/>
      <c r="C44" s="7"/>
      <c r="D44" s="7"/>
      <c r="E44" s="7"/>
      <c r="F44" s="7"/>
      <c r="G44" s="7"/>
    </row>
    <row r="45" spans="1:8" x14ac:dyDescent="0.25">
      <c r="A45" s="46" t="s">
        <v>269</v>
      </c>
      <c r="B45" s="10">
        <f>SUM(B46:B53)</f>
        <v>0</v>
      </c>
      <c r="C45" s="10">
        <f t="shared" ref="C45:G45" si="8">SUM(C46:C53)</f>
        <v>0</v>
      </c>
      <c r="D45" s="10">
        <f t="shared" si="8"/>
        <v>0</v>
      </c>
      <c r="E45" s="10">
        <f t="shared" si="8"/>
        <v>0</v>
      </c>
      <c r="F45" s="10">
        <f t="shared" si="8"/>
        <v>0</v>
      </c>
      <c r="G45" s="10">
        <f t="shared" si="8"/>
        <v>0</v>
      </c>
    </row>
    <row r="46" spans="1:8" x14ac:dyDescent="0.25">
      <c r="A46" s="67" t="s">
        <v>270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>F46-B46</f>
        <v>0</v>
      </c>
    </row>
    <row r="47" spans="1:8" x14ac:dyDescent="0.25">
      <c r="A47" s="67" t="s">
        <v>271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ref="G47:G53" si="9">F47-B47</f>
        <v>0</v>
      </c>
    </row>
    <row r="48" spans="1:8" x14ac:dyDescent="0.25">
      <c r="A48" s="67" t="s">
        <v>272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9"/>
        <v>0</v>
      </c>
    </row>
    <row r="49" spans="1:7" ht="30" x14ac:dyDescent="0.25">
      <c r="A49" s="67" t="s">
        <v>273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9"/>
        <v>0</v>
      </c>
    </row>
    <row r="50" spans="1:7" x14ac:dyDescent="0.25">
      <c r="A50" s="67" t="s">
        <v>274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9"/>
        <v>0</v>
      </c>
    </row>
    <row r="51" spans="1:7" x14ac:dyDescent="0.25">
      <c r="A51" s="67" t="s">
        <v>275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9"/>
        <v>0</v>
      </c>
    </row>
    <row r="52" spans="1:7" x14ac:dyDescent="0.25">
      <c r="A52" s="68" t="s">
        <v>276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9"/>
        <v>0</v>
      </c>
    </row>
    <row r="53" spans="1:7" x14ac:dyDescent="0.25">
      <c r="A53" s="66" t="s">
        <v>277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9"/>
        <v>0</v>
      </c>
    </row>
    <row r="54" spans="1:7" x14ac:dyDescent="0.25">
      <c r="A54" s="46" t="s">
        <v>278</v>
      </c>
      <c r="B54" s="10">
        <f>SUM(B55:B58)</f>
        <v>0</v>
      </c>
      <c r="C54" s="10">
        <f t="shared" ref="C54:G54" si="10">SUM(C55:C58)</f>
        <v>9915088.5199999996</v>
      </c>
      <c r="D54" s="10">
        <f t="shared" si="10"/>
        <v>9915088.5199999996</v>
      </c>
      <c r="E54" s="10">
        <f t="shared" si="10"/>
        <v>5228211.93</v>
      </c>
      <c r="F54" s="10">
        <f t="shared" si="10"/>
        <v>5228211.93</v>
      </c>
      <c r="G54" s="10">
        <f t="shared" si="10"/>
        <v>5228211.93</v>
      </c>
    </row>
    <row r="55" spans="1:7" x14ac:dyDescent="0.25">
      <c r="A55" s="68" t="s">
        <v>279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>F55-B55</f>
        <v>0</v>
      </c>
    </row>
    <row r="56" spans="1:7" x14ac:dyDescent="0.25">
      <c r="A56" s="67" t="s">
        <v>280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ref="G56:G58" si="11">F56-B56</f>
        <v>0</v>
      </c>
    </row>
    <row r="57" spans="1:7" x14ac:dyDescent="0.25">
      <c r="A57" s="67" t="s">
        <v>281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1"/>
        <v>0</v>
      </c>
    </row>
    <row r="58" spans="1:7" x14ac:dyDescent="0.25">
      <c r="A58" s="68" t="s">
        <v>282</v>
      </c>
      <c r="B58" s="10">
        <v>0</v>
      </c>
      <c r="C58" s="10">
        <v>9915088.5199999996</v>
      </c>
      <c r="D58" s="10">
        <v>9915088.5199999996</v>
      </c>
      <c r="E58" s="10">
        <v>5228211.93</v>
      </c>
      <c r="F58" s="10">
        <v>5228211.93</v>
      </c>
      <c r="G58" s="10">
        <f t="shared" si="11"/>
        <v>5228211.93</v>
      </c>
    </row>
    <row r="59" spans="1:7" x14ac:dyDescent="0.25">
      <c r="A59" s="46" t="s">
        <v>283</v>
      </c>
      <c r="B59" s="10">
        <f>SUM(B60:B61)</f>
        <v>0</v>
      </c>
      <c r="C59" s="10">
        <f t="shared" ref="C59:G59" si="12">SUM(C60:C61)</f>
        <v>0</v>
      </c>
      <c r="D59" s="10">
        <f t="shared" si="12"/>
        <v>0</v>
      </c>
      <c r="E59" s="10">
        <f t="shared" si="12"/>
        <v>0</v>
      </c>
      <c r="F59" s="10">
        <f t="shared" si="12"/>
        <v>0</v>
      </c>
      <c r="G59" s="10">
        <f t="shared" si="12"/>
        <v>0</v>
      </c>
    </row>
    <row r="60" spans="1:7" x14ac:dyDescent="0.25">
      <c r="A60" s="67" t="s">
        <v>284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>F60-B60</f>
        <v>0</v>
      </c>
    </row>
    <row r="61" spans="1:7" x14ac:dyDescent="0.25">
      <c r="A61" s="67" t="s">
        <v>285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>F61-B61</f>
        <v>0</v>
      </c>
    </row>
    <row r="62" spans="1:7" x14ac:dyDescent="0.25">
      <c r="A62" s="46" t="s">
        <v>286</v>
      </c>
      <c r="B62" s="10">
        <v>0</v>
      </c>
      <c r="C62" s="10">
        <v>16545.849999999999</v>
      </c>
      <c r="D62" s="10">
        <v>16545.849999999999</v>
      </c>
      <c r="E62" s="10">
        <v>16545.849999999999</v>
      </c>
      <c r="F62" s="10">
        <v>16545.849999999999</v>
      </c>
      <c r="G62" s="10">
        <f>F62-B62</f>
        <v>16545.849999999999</v>
      </c>
    </row>
    <row r="63" spans="1:7" x14ac:dyDescent="0.25">
      <c r="A63" s="46" t="s">
        <v>287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>F63-B63</f>
        <v>0</v>
      </c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14" t="s">
        <v>288</v>
      </c>
      <c r="B65" s="15">
        <f>B45+B54+B59+B62+B63</f>
        <v>0</v>
      </c>
      <c r="C65" s="15">
        <f t="shared" ref="C65:G65" si="13">C45+C54+C59+C62+C63</f>
        <v>9931634.3699999992</v>
      </c>
      <c r="D65" s="15">
        <f t="shared" si="13"/>
        <v>9931634.3699999992</v>
      </c>
      <c r="E65" s="15">
        <f t="shared" si="13"/>
        <v>5244757.7799999993</v>
      </c>
      <c r="F65" s="15">
        <f t="shared" si="13"/>
        <v>5244757.7799999993</v>
      </c>
      <c r="G65" s="15">
        <f t="shared" si="13"/>
        <v>5244757.7799999993</v>
      </c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14" t="s">
        <v>289</v>
      </c>
      <c r="B67" s="15">
        <f>B68</f>
        <v>0</v>
      </c>
      <c r="C67" s="15">
        <f t="shared" ref="C67:G67" si="14">C68</f>
        <v>0</v>
      </c>
      <c r="D67" s="15">
        <f t="shared" si="14"/>
        <v>0</v>
      </c>
      <c r="E67" s="15">
        <f t="shared" si="14"/>
        <v>0</v>
      </c>
      <c r="F67" s="15">
        <f t="shared" si="14"/>
        <v>0</v>
      </c>
      <c r="G67" s="15">
        <f t="shared" si="14"/>
        <v>0</v>
      </c>
    </row>
    <row r="68" spans="1:7" x14ac:dyDescent="0.25">
      <c r="A68" s="46" t="s">
        <v>290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14" t="s">
        <v>291</v>
      </c>
      <c r="B70" s="15">
        <f>B41+B65+B67</f>
        <v>217429765.59</v>
      </c>
      <c r="C70" s="15">
        <f>C41+C65+C67</f>
        <v>85738396.439999998</v>
      </c>
      <c r="D70" s="15">
        <f t="shared" ref="D70:F70" si="15">D41+D65+D67</f>
        <v>303168162.02999997</v>
      </c>
      <c r="E70" s="15">
        <f t="shared" si="15"/>
        <v>221577921.05999994</v>
      </c>
      <c r="F70" s="15">
        <f t="shared" si="15"/>
        <v>221577921.05999994</v>
      </c>
      <c r="G70" s="15">
        <f>G41+G65+G67</f>
        <v>4148155.4699999299</v>
      </c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14" t="s">
        <v>292</v>
      </c>
      <c r="B72" s="7"/>
      <c r="C72" s="7"/>
      <c r="D72" s="7"/>
      <c r="E72" s="7"/>
      <c r="F72" s="7"/>
      <c r="G72" s="7"/>
    </row>
    <row r="73" spans="1:7" x14ac:dyDescent="0.25">
      <c r="A73" s="69" t="s">
        <v>293</v>
      </c>
      <c r="B73" s="10">
        <v>0</v>
      </c>
      <c r="C73" s="10">
        <v>73953638.129999995</v>
      </c>
      <c r="D73" s="10">
        <v>73953638.129999995</v>
      </c>
      <c r="E73" s="10">
        <v>0</v>
      </c>
      <c r="F73" s="10">
        <v>0</v>
      </c>
      <c r="G73" s="10">
        <f>F73-B73</f>
        <v>0</v>
      </c>
    </row>
    <row r="74" spans="1:7" ht="30" x14ac:dyDescent="0.25">
      <c r="A74" s="69" t="s">
        <v>294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>F74-B74</f>
        <v>0</v>
      </c>
    </row>
    <row r="75" spans="1:7" x14ac:dyDescent="0.25">
      <c r="A75" s="52" t="s">
        <v>295</v>
      </c>
      <c r="B75" s="15">
        <f>B73+B74</f>
        <v>0</v>
      </c>
      <c r="C75" s="15">
        <f t="shared" ref="C75:G75" si="16">C73+C74</f>
        <v>73953638.129999995</v>
      </c>
      <c r="D75" s="15">
        <f t="shared" si="16"/>
        <v>73953638.129999995</v>
      </c>
      <c r="E75" s="15">
        <f t="shared" si="16"/>
        <v>0</v>
      </c>
      <c r="F75" s="15">
        <f t="shared" si="16"/>
        <v>0</v>
      </c>
      <c r="G75" s="15">
        <f t="shared" si="16"/>
        <v>0</v>
      </c>
    </row>
    <row r="76" spans="1:7" x14ac:dyDescent="0.25">
      <c r="A76" s="21"/>
      <c r="B76" s="20"/>
      <c r="C76" s="20"/>
      <c r="D76" s="20"/>
      <c r="E76" s="20"/>
      <c r="F76" s="20"/>
      <c r="G76" s="2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2">
    <dataValidation type="decimal" allowBlank="1" showInputMessage="1" showErrorMessage="1" sqref="B9:G75" xr:uid="{6BC8C24D-E85C-4507-A3E7-A9353C1E53AE}">
      <formula1>-1.79769313486231E+100</formula1>
      <formula2>1.79769313486231E+100</formula2>
    </dataValidation>
    <dataValidation type="decimal" allowBlank="1" showInputMessage="1" showErrorMessage="1" error="Solo se aceptan valores numéricos." sqref="H45:XFD62" xr:uid="{722D1284-FDC1-41E3-8EF7-3E4524658950}">
      <formula1>#REF!</formula1>
      <formula2>#REF!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6CF3-4BB7-4D81-B4A3-77BD981F4F07}">
  <dimension ref="A1:XFC161"/>
  <sheetViews>
    <sheetView tabSelected="1" topLeftCell="A37" workbookViewId="0">
      <selection activeCell="C62" sqref="C62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37.5" customHeight="1" x14ac:dyDescent="0.25">
      <c r="A1" s="117" t="s">
        <v>296</v>
      </c>
      <c r="B1" s="118"/>
      <c r="C1" s="118"/>
      <c r="D1" s="118"/>
      <c r="E1" s="118"/>
      <c r="F1" s="118"/>
      <c r="G1" s="118"/>
    </row>
    <row r="2" spans="1:7" x14ac:dyDescent="0.25">
      <c r="A2" s="111" t="str">
        <f>ENTE_PUBLICO_A</f>
        <v>SISTEMA MUNICIPAL DE AGUA POTABLE Y ALCANTARILLADO DE GUANAJUATO, Gobierno del Estado de Guanajuato (a)</v>
      </c>
      <c r="B2" s="111"/>
      <c r="C2" s="111"/>
      <c r="D2" s="111"/>
      <c r="E2" s="111"/>
      <c r="F2" s="111"/>
      <c r="G2" s="111"/>
    </row>
    <row r="3" spans="1:7" x14ac:dyDescent="0.25">
      <c r="A3" s="119" t="s">
        <v>297</v>
      </c>
      <c r="B3" s="119"/>
      <c r="C3" s="119"/>
      <c r="D3" s="119"/>
      <c r="E3" s="119"/>
      <c r="F3" s="119"/>
      <c r="G3" s="119"/>
    </row>
    <row r="4" spans="1:7" x14ac:dyDescent="0.25">
      <c r="A4" s="119" t="s">
        <v>298</v>
      </c>
      <c r="B4" s="119"/>
      <c r="C4" s="119"/>
      <c r="D4" s="119"/>
      <c r="E4" s="119"/>
      <c r="F4" s="119"/>
      <c r="G4" s="119"/>
    </row>
    <row r="5" spans="1:7" x14ac:dyDescent="0.25">
      <c r="A5" s="119" t="str">
        <f>TRIMESTRE</f>
        <v>Del 1 de enero al 31 de diciembre de 2021 (b)</v>
      </c>
      <c r="B5" s="119"/>
      <c r="C5" s="119"/>
      <c r="D5" s="119"/>
      <c r="E5" s="119"/>
      <c r="F5" s="119"/>
      <c r="G5" s="119"/>
    </row>
    <row r="6" spans="1:7" x14ac:dyDescent="0.25">
      <c r="A6" s="112" t="s">
        <v>2</v>
      </c>
      <c r="B6" s="112"/>
      <c r="C6" s="112"/>
      <c r="D6" s="112"/>
      <c r="E6" s="112"/>
      <c r="F6" s="112"/>
      <c r="G6" s="112"/>
    </row>
    <row r="7" spans="1:7" ht="15" customHeight="1" x14ac:dyDescent="0.25">
      <c r="A7" s="115" t="s">
        <v>4</v>
      </c>
      <c r="B7" s="115" t="s">
        <v>299</v>
      </c>
      <c r="C7" s="115"/>
      <c r="D7" s="115"/>
      <c r="E7" s="115"/>
      <c r="F7" s="115"/>
      <c r="G7" s="116" t="s">
        <v>300</v>
      </c>
    </row>
    <row r="8" spans="1:7" ht="30" x14ac:dyDescent="0.25">
      <c r="A8" s="115"/>
      <c r="B8" s="25" t="s">
        <v>301</v>
      </c>
      <c r="C8" s="25" t="s">
        <v>302</v>
      </c>
      <c r="D8" s="25" t="s">
        <v>303</v>
      </c>
      <c r="E8" s="25" t="s">
        <v>187</v>
      </c>
      <c r="F8" s="25" t="s">
        <v>304</v>
      </c>
      <c r="G8" s="115"/>
    </row>
    <row r="9" spans="1:7" x14ac:dyDescent="0.25">
      <c r="A9" s="70" t="s">
        <v>305</v>
      </c>
      <c r="B9" s="71">
        <f>SUM(B10,B18,B28,B38,B48,B58,B62,B71,B75)</f>
        <v>217429765.59</v>
      </c>
      <c r="C9" s="71">
        <f t="shared" ref="C9:G9" si="0">SUM(C10,C18,C28,C38,C48,C58,C62,C71,C75)</f>
        <v>75806762.069999993</v>
      </c>
      <c r="D9" s="71">
        <f>SUM(D10,D18,D28,D38,D48,D58,D62,D71,D75)</f>
        <v>293236527.65999997</v>
      </c>
      <c r="E9" s="71">
        <f t="shared" si="0"/>
        <v>236089273.39999998</v>
      </c>
      <c r="F9" s="71">
        <f t="shared" si="0"/>
        <v>223527460.18000001</v>
      </c>
      <c r="G9" s="71">
        <f t="shared" si="0"/>
        <v>57147254.25999999</v>
      </c>
    </row>
    <row r="10" spans="1:7" x14ac:dyDescent="0.25">
      <c r="A10" s="72" t="s">
        <v>306</v>
      </c>
      <c r="B10" s="73">
        <v>84257324.430000007</v>
      </c>
      <c r="C10" s="73">
        <v>3404.7199999997392</v>
      </c>
      <c r="D10" s="73">
        <v>84260729.150000006</v>
      </c>
      <c r="E10" s="73">
        <v>81908047.799999997</v>
      </c>
      <c r="F10" s="73">
        <v>80713406.260000005</v>
      </c>
      <c r="G10" s="73">
        <v>2352681.3499999973</v>
      </c>
    </row>
    <row r="11" spans="1:7" x14ac:dyDescent="0.25">
      <c r="A11" s="74" t="s">
        <v>307</v>
      </c>
      <c r="B11" s="73">
        <v>29801525.050000001</v>
      </c>
      <c r="C11" s="73">
        <v>-1773897.71</v>
      </c>
      <c r="D11" s="73">
        <v>28027627.34</v>
      </c>
      <c r="E11" s="73">
        <v>27887308.009999998</v>
      </c>
      <c r="F11" s="73">
        <v>27887308.009999998</v>
      </c>
      <c r="G11" s="73">
        <v>140319.33000000194</v>
      </c>
    </row>
    <row r="12" spans="1:7" x14ac:dyDescent="0.25">
      <c r="A12" s="74" t="s">
        <v>308</v>
      </c>
      <c r="B12" s="73">
        <v>2964686.83</v>
      </c>
      <c r="C12" s="73">
        <v>-330000</v>
      </c>
      <c r="D12" s="73">
        <v>2634686.83</v>
      </c>
      <c r="E12" s="73">
        <v>2626775.0299999998</v>
      </c>
      <c r="F12" s="73">
        <v>2626775.0299999998</v>
      </c>
      <c r="G12" s="73">
        <v>7911.8000000002794</v>
      </c>
    </row>
    <row r="13" spans="1:7" x14ac:dyDescent="0.25">
      <c r="A13" s="74" t="s">
        <v>309</v>
      </c>
      <c r="B13" s="73">
        <v>11652332.879999999</v>
      </c>
      <c r="C13" s="73">
        <v>870951.07</v>
      </c>
      <c r="D13" s="73">
        <v>12523283.949999999</v>
      </c>
      <c r="E13" s="73">
        <v>11904498.640000001</v>
      </c>
      <c r="F13" s="73">
        <v>11904498.640000001</v>
      </c>
      <c r="G13" s="73">
        <v>618785.30999999866</v>
      </c>
    </row>
    <row r="14" spans="1:7" x14ac:dyDescent="0.25">
      <c r="A14" s="74" t="s">
        <v>310</v>
      </c>
      <c r="B14" s="73">
        <v>9646507.3000000007</v>
      </c>
      <c r="C14" s="73">
        <v>0</v>
      </c>
      <c r="D14" s="73">
        <v>9646507.3000000007</v>
      </c>
      <c r="E14" s="73">
        <v>9352301</v>
      </c>
      <c r="F14" s="73">
        <v>8265599.46</v>
      </c>
      <c r="G14" s="73">
        <v>294206.30000000075</v>
      </c>
    </row>
    <row r="15" spans="1:7" x14ac:dyDescent="0.25">
      <c r="A15" s="74" t="s">
        <v>311</v>
      </c>
      <c r="B15" s="73">
        <v>30192272.369999997</v>
      </c>
      <c r="C15" s="73">
        <v>1236351.3599999999</v>
      </c>
      <c r="D15" s="73">
        <v>31428623.729999997</v>
      </c>
      <c r="E15" s="73">
        <v>30137165.120000001</v>
      </c>
      <c r="F15" s="73">
        <v>30029225.120000001</v>
      </c>
      <c r="G15" s="73">
        <v>1291458.6099999957</v>
      </c>
    </row>
    <row r="16" spans="1:7" x14ac:dyDescent="0.25">
      <c r="A16" s="74" t="s">
        <v>312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f t="shared" ref="G16:G17" si="1">D16-E16</f>
        <v>0</v>
      </c>
    </row>
    <row r="17" spans="1:7" x14ac:dyDescent="0.25">
      <c r="A17" s="74" t="s">
        <v>313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2" t="s">
        <v>314</v>
      </c>
      <c r="B18" s="73">
        <f>SUM(B19:B27)</f>
        <v>28277075.040000003</v>
      </c>
      <c r="C18" s="73">
        <f t="shared" ref="C18:F18" si="2">SUM(C19:C27)</f>
        <v>4357110.08</v>
      </c>
      <c r="D18" s="73">
        <f t="shared" si="2"/>
        <v>32634185.120000001</v>
      </c>
      <c r="E18" s="73">
        <f t="shared" si="2"/>
        <v>24565411.460000001</v>
      </c>
      <c r="F18" s="73">
        <f t="shared" si="2"/>
        <v>19928995.560000002</v>
      </c>
      <c r="G18" s="73">
        <f>SUM(G19:G27)</f>
        <v>8068773.6599999983</v>
      </c>
    </row>
    <row r="19" spans="1:7" x14ac:dyDescent="0.25">
      <c r="A19" s="74" t="s">
        <v>315</v>
      </c>
      <c r="B19" s="73">
        <v>1664267.67</v>
      </c>
      <c r="C19" s="73">
        <v>-102402.63</v>
      </c>
      <c r="D19" s="73">
        <v>1561865.04</v>
      </c>
      <c r="E19" s="73">
        <v>745461.67999999993</v>
      </c>
      <c r="F19" s="73">
        <v>730036.36</v>
      </c>
      <c r="G19" s="73">
        <v>816403.3600000001</v>
      </c>
    </row>
    <row r="20" spans="1:7" x14ac:dyDescent="0.25">
      <c r="A20" s="74" t="s">
        <v>316</v>
      </c>
      <c r="B20" s="73">
        <v>330830.42</v>
      </c>
      <c r="C20" s="73">
        <v>0</v>
      </c>
      <c r="D20" s="73">
        <v>330830.42</v>
      </c>
      <c r="E20" s="73">
        <v>199521.26</v>
      </c>
      <c r="F20" s="73">
        <v>199521.26</v>
      </c>
      <c r="G20" s="73">
        <v>131309.15999999997</v>
      </c>
    </row>
    <row r="21" spans="1:7" x14ac:dyDescent="0.25">
      <c r="A21" s="74" t="s">
        <v>317</v>
      </c>
      <c r="B21" s="73">
        <v>0</v>
      </c>
      <c r="C21" s="73"/>
      <c r="D21" s="73"/>
      <c r="E21" s="73"/>
      <c r="F21" s="73"/>
      <c r="G21" s="73">
        <v>0</v>
      </c>
    </row>
    <row r="22" spans="1:7" x14ac:dyDescent="0.25">
      <c r="A22" s="74" t="s">
        <v>318</v>
      </c>
      <c r="B22" s="73">
        <v>3191998.5</v>
      </c>
      <c r="C22" s="73">
        <v>610175.51</v>
      </c>
      <c r="D22" s="73">
        <v>3802174.01</v>
      </c>
      <c r="E22" s="73">
        <v>2069458.4</v>
      </c>
      <c r="F22" s="73">
        <v>1676005.79</v>
      </c>
      <c r="G22" s="73">
        <v>1732715.6099999999</v>
      </c>
    </row>
    <row r="23" spans="1:7" x14ac:dyDescent="0.25">
      <c r="A23" s="74" t="s">
        <v>319</v>
      </c>
      <c r="B23" s="73">
        <v>5437300</v>
      </c>
      <c r="C23" s="73">
        <v>-822219.37000000011</v>
      </c>
      <c r="D23" s="73">
        <v>4615080.63</v>
      </c>
      <c r="E23" s="73">
        <v>3928298.3100000005</v>
      </c>
      <c r="F23" s="73">
        <v>2934823.1999999997</v>
      </c>
      <c r="G23" s="73">
        <v>686782.31999999937</v>
      </c>
    </row>
    <row r="24" spans="1:7" x14ac:dyDescent="0.25">
      <c r="A24" s="74" t="s">
        <v>320</v>
      </c>
      <c r="B24" s="73">
        <v>6902193.6500000004</v>
      </c>
      <c r="C24" s="73">
        <v>-7686.4100000000035</v>
      </c>
      <c r="D24" s="73">
        <v>6894507.2400000002</v>
      </c>
      <c r="E24" s="73">
        <v>4871150.2300000004</v>
      </c>
      <c r="F24" s="73">
        <v>4871150.2300000004</v>
      </c>
      <c r="G24" s="73">
        <v>2023357.0099999998</v>
      </c>
    </row>
    <row r="25" spans="1:7" x14ac:dyDescent="0.25">
      <c r="A25" s="74" t="s">
        <v>321</v>
      </c>
      <c r="B25" s="73">
        <v>1065230</v>
      </c>
      <c r="C25" s="73">
        <v>-148427.4</v>
      </c>
      <c r="D25" s="73">
        <v>913522.26000000013</v>
      </c>
      <c r="E25" s="73">
        <v>787207.77</v>
      </c>
      <c r="F25" s="73">
        <v>613827.46</v>
      </c>
      <c r="G25" s="73">
        <v>126314.49000000011</v>
      </c>
    </row>
    <row r="26" spans="1:7" x14ac:dyDescent="0.25">
      <c r="A26" s="74" t="s">
        <v>322</v>
      </c>
      <c r="B26" s="73">
        <v>0</v>
      </c>
      <c r="C26" s="73"/>
      <c r="D26" s="73"/>
      <c r="E26" s="73"/>
      <c r="F26" s="73"/>
      <c r="G26" s="73">
        <v>0</v>
      </c>
    </row>
    <row r="27" spans="1:7" x14ac:dyDescent="0.25">
      <c r="A27" s="74" t="s">
        <v>323</v>
      </c>
      <c r="B27" s="73">
        <v>9685254.8000000007</v>
      </c>
      <c r="C27" s="73">
        <v>4827670.38</v>
      </c>
      <c r="D27" s="73">
        <v>14516205.52</v>
      </c>
      <c r="E27" s="73">
        <v>11964313.810000001</v>
      </c>
      <c r="F27" s="73">
        <v>8903631.2599999998</v>
      </c>
      <c r="G27" s="73">
        <v>2551891.709999999</v>
      </c>
    </row>
    <row r="28" spans="1:7" x14ac:dyDescent="0.25">
      <c r="A28" s="72" t="s">
        <v>324</v>
      </c>
      <c r="B28" s="73">
        <f>SUM(B29:B37)</f>
        <v>71967882.099999994</v>
      </c>
      <c r="C28" s="73">
        <f t="shared" ref="C28:G28" si="3">SUM(C29:C37)</f>
        <v>1984917.0000000005</v>
      </c>
      <c r="D28" s="73">
        <f t="shared" si="3"/>
        <v>73952799.100000009</v>
      </c>
      <c r="E28" s="73">
        <f t="shared" si="3"/>
        <v>60975932.79999999</v>
      </c>
      <c r="F28" s="73">
        <f t="shared" si="3"/>
        <v>59322601.469999999</v>
      </c>
      <c r="G28" s="73">
        <f t="shared" si="3"/>
        <v>12976866.300000003</v>
      </c>
    </row>
    <row r="29" spans="1:7" x14ac:dyDescent="0.25">
      <c r="A29" s="74" t="s">
        <v>325</v>
      </c>
      <c r="B29" s="73">
        <v>35992711.979999997</v>
      </c>
      <c r="C29" s="73">
        <v>1613509.5399999998</v>
      </c>
      <c r="D29" s="73">
        <v>37606221.520000003</v>
      </c>
      <c r="E29" s="73">
        <v>33898832.039999999</v>
      </c>
      <c r="F29" s="73">
        <v>33898832.039999999</v>
      </c>
      <c r="G29" s="73">
        <v>3707389.4800000042</v>
      </c>
    </row>
    <row r="30" spans="1:7" x14ac:dyDescent="0.25">
      <c r="A30" s="74" t="s">
        <v>326</v>
      </c>
      <c r="B30" s="73">
        <v>1515230.4</v>
      </c>
      <c r="C30" s="73">
        <v>-130300</v>
      </c>
      <c r="D30" s="73">
        <v>1384930.4</v>
      </c>
      <c r="E30" s="73">
        <v>914431.07000000007</v>
      </c>
      <c r="F30" s="73">
        <v>914431.07000000007</v>
      </c>
      <c r="G30" s="73">
        <v>470499.32999999984</v>
      </c>
    </row>
    <row r="31" spans="1:7" x14ac:dyDescent="0.25">
      <c r="A31" s="74" t="s">
        <v>327</v>
      </c>
      <c r="B31" s="73">
        <v>10680995.880000001</v>
      </c>
      <c r="C31" s="73">
        <v>890200.00000000012</v>
      </c>
      <c r="D31" s="73">
        <v>11571195.879999999</v>
      </c>
      <c r="E31" s="73">
        <v>8869220.0199999996</v>
      </c>
      <c r="F31" s="73">
        <v>8495835.8200000003</v>
      </c>
      <c r="G31" s="73">
        <v>2701975.8599999994</v>
      </c>
    </row>
    <row r="32" spans="1:7" x14ac:dyDescent="0.25">
      <c r="A32" s="74" t="s">
        <v>328</v>
      </c>
      <c r="B32" s="73">
        <v>2251078.2400000002</v>
      </c>
      <c r="C32" s="73">
        <v>-6500</v>
      </c>
      <c r="D32" s="73">
        <v>2244578.2400000002</v>
      </c>
      <c r="E32" s="73">
        <v>1994400.5899999996</v>
      </c>
      <c r="F32" s="73">
        <v>1994400.5899999996</v>
      </c>
      <c r="G32" s="73">
        <v>250177.65000000061</v>
      </c>
    </row>
    <row r="33" spans="1:7" x14ac:dyDescent="0.25">
      <c r="A33" s="74" t="s">
        <v>329</v>
      </c>
      <c r="B33" s="73">
        <v>8905847.8200000003</v>
      </c>
      <c r="C33" s="73">
        <v>-815267.14999999991</v>
      </c>
      <c r="D33" s="73">
        <v>8090580.6699999999</v>
      </c>
      <c r="E33" s="73">
        <v>5180260.78</v>
      </c>
      <c r="F33" s="73">
        <v>5020972.45</v>
      </c>
      <c r="G33" s="73">
        <v>2910319.8899999997</v>
      </c>
    </row>
    <row r="34" spans="1:7" x14ac:dyDescent="0.25">
      <c r="A34" s="74" t="s">
        <v>330</v>
      </c>
      <c r="B34" s="73">
        <v>3333836.31</v>
      </c>
      <c r="C34" s="73">
        <v>0</v>
      </c>
      <c r="D34" s="73">
        <v>3333836.31</v>
      </c>
      <c r="E34" s="73">
        <v>3255728.18</v>
      </c>
      <c r="F34" s="73">
        <v>3255728.18</v>
      </c>
      <c r="G34" s="73">
        <v>78108.129999999888</v>
      </c>
    </row>
    <row r="35" spans="1:7" x14ac:dyDescent="0.25">
      <c r="A35" s="74" t="s">
        <v>331</v>
      </c>
      <c r="B35" s="73">
        <v>388029.01</v>
      </c>
      <c r="C35" s="73">
        <v>44600</v>
      </c>
      <c r="D35" s="73">
        <v>432629.01</v>
      </c>
      <c r="E35" s="73">
        <v>131953.4</v>
      </c>
      <c r="F35" s="73">
        <v>131953.4</v>
      </c>
      <c r="G35" s="73">
        <v>300675.61</v>
      </c>
    </row>
    <row r="36" spans="1:7" x14ac:dyDescent="0.25">
      <c r="A36" s="74" t="s">
        <v>332</v>
      </c>
      <c r="B36" s="73">
        <v>1413245.61</v>
      </c>
      <c r="C36" s="73">
        <v>-15689.66</v>
      </c>
      <c r="D36" s="73">
        <v>1397555.95</v>
      </c>
      <c r="E36" s="73">
        <v>595416.64</v>
      </c>
      <c r="F36" s="73">
        <v>593999.84</v>
      </c>
      <c r="G36" s="73">
        <v>802139.30999999994</v>
      </c>
    </row>
    <row r="37" spans="1:7" x14ac:dyDescent="0.25">
      <c r="A37" s="74" t="s">
        <v>333</v>
      </c>
      <c r="B37" s="73">
        <v>7486906.8499999996</v>
      </c>
      <c r="C37" s="73">
        <v>404364.27000000014</v>
      </c>
      <c r="D37" s="73">
        <v>7891271.1199999992</v>
      </c>
      <c r="E37" s="73">
        <v>6135690.0800000001</v>
      </c>
      <c r="F37" s="73">
        <v>5016448.08</v>
      </c>
      <c r="G37" s="73">
        <v>1755581.0399999991</v>
      </c>
    </row>
    <row r="38" spans="1:7" x14ac:dyDescent="0.25">
      <c r="A38" s="72" t="s">
        <v>334</v>
      </c>
      <c r="B38" s="73">
        <f>SUM(B39:B47)</f>
        <v>60000</v>
      </c>
      <c r="C38" s="73">
        <f t="shared" ref="C38:G38" si="4">SUM(C39:C47)</f>
        <v>0</v>
      </c>
      <c r="D38" s="73">
        <f t="shared" si="4"/>
        <v>60000</v>
      </c>
      <c r="E38" s="73">
        <f>SUM(E39:E47)</f>
        <v>53000</v>
      </c>
      <c r="F38" s="73">
        <f t="shared" si="4"/>
        <v>53000</v>
      </c>
      <c r="G38" s="73">
        <f t="shared" si="4"/>
        <v>7000</v>
      </c>
    </row>
    <row r="39" spans="1:7" x14ac:dyDescent="0.25">
      <c r="A39" s="74" t="s">
        <v>335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f>D39-E39</f>
        <v>0</v>
      </c>
    </row>
    <row r="40" spans="1:7" x14ac:dyDescent="0.25">
      <c r="A40" s="74" t="s">
        <v>336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f t="shared" ref="G40:G47" si="5">D40-E40</f>
        <v>0</v>
      </c>
    </row>
    <row r="41" spans="1:7" x14ac:dyDescent="0.25">
      <c r="A41" s="74" t="s">
        <v>337</v>
      </c>
      <c r="B41" s="73">
        <v>0</v>
      </c>
      <c r="C41" s="73">
        <v>0</v>
      </c>
      <c r="D41" s="73">
        <v>0</v>
      </c>
      <c r="E41" s="73">
        <v>0</v>
      </c>
      <c r="F41" s="73">
        <v>0</v>
      </c>
      <c r="G41" s="73">
        <f t="shared" si="5"/>
        <v>0</v>
      </c>
    </row>
    <row r="42" spans="1:7" x14ac:dyDescent="0.25">
      <c r="A42" s="74" t="s">
        <v>338</v>
      </c>
      <c r="B42" s="73">
        <v>60000</v>
      </c>
      <c r="C42" s="73">
        <v>0</v>
      </c>
      <c r="D42" s="73">
        <v>60000</v>
      </c>
      <c r="E42" s="73">
        <v>53000</v>
      </c>
      <c r="F42" s="73">
        <v>53000</v>
      </c>
      <c r="G42" s="73">
        <v>7000</v>
      </c>
    </row>
    <row r="43" spans="1:7" x14ac:dyDescent="0.25">
      <c r="A43" s="74" t="s">
        <v>339</v>
      </c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73">
        <f t="shared" si="5"/>
        <v>0</v>
      </c>
    </row>
    <row r="44" spans="1:7" x14ac:dyDescent="0.25">
      <c r="A44" s="74" t="s">
        <v>340</v>
      </c>
      <c r="B44" s="73">
        <v>0</v>
      </c>
      <c r="C44" s="73">
        <v>0</v>
      </c>
      <c r="D44" s="73">
        <v>0</v>
      </c>
      <c r="E44" s="73">
        <v>0</v>
      </c>
      <c r="F44" s="73">
        <v>0</v>
      </c>
      <c r="G44" s="73">
        <f t="shared" si="5"/>
        <v>0</v>
      </c>
    </row>
    <row r="45" spans="1:7" x14ac:dyDescent="0.25">
      <c r="A45" s="74" t="s">
        <v>341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f t="shared" si="5"/>
        <v>0</v>
      </c>
    </row>
    <row r="46" spans="1:7" x14ac:dyDescent="0.25">
      <c r="A46" s="74" t="s">
        <v>342</v>
      </c>
      <c r="B46" s="73">
        <v>0</v>
      </c>
      <c r="C46" s="73">
        <v>0</v>
      </c>
      <c r="D46" s="73">
        <v>0</v>
      </c>
      <c r="E46" s="73">
        <v>0</v>
      </c>
      <c r="F46" s="73">
        <v>0</v>
      </c>
      <c r="G46" s="73">
        <f t="shared" si="5"/>
        <v>0</v>
      </c>
    </row>
    <row r="47" spans="1:7" x14ac:dyDescent="0.25">
      <c r="A47" s="74" t="s">
        <v>343</v>
      </c>
      <c r="B47" s="73">
        <v>0</v>
      </c>
      <c r="C47" s="73">
        <v>0</v>
      </c>
      <c r="D47" s="73">
        <v>0</v>
      </c>
      <c r="E47" s="73">
        <v>0</v>
      </c>
      <c r="F47" s="73">
        <v>0</v>
      </c>
      <c r="G47" s="73">
        <f t="shared" si="5"/>
        <v>0</v>
      </c>
    </row>
    <row r="48" spans="1:7" x14ac:dyDescent="0.25">
      <c r="A48" s="72" t="s">
        <v>344</v>
      </c>
      <c r="B48" s="73">
        <f>SUM(B49:B57)</f>
        <v>11166348.34</v>
      </c>
      <c r="C48" s="73">
        <f t="shared" ref="C48:G48" si="6">SUM(C49:C57)</f>
        <v>-4890102.2399999993</v>
      </c>
      <c r="D48" s="73">
        <f t="shared" si="6"/>
        <v>6276246.0999999996</v>
      </c>
      <c r="E48" s="73">
        <f t="shared" si="6"/>
        <v>5076029.8000000007</v>
      </c>
      <c r="F48" s="73">
        <f t="shared" si="6"/>
        <v>4728402.3000000007</v>
      </c>
      <c r="G48" s="73">
        <f t="shared" si="6"/>
        <v>1200216.2999999996</v>
      </c>
    </row>
    <row r="49" spans="1:7" x14ac:dyDescent="0.25">
      <c r="A49" s="74" t="s">
        <v>345</v>
      </c>
      <c r="B49" s="73">
        <v>2024518.12</v>
      </c>
      <c r="C49" s="73">
        <v>-316492.73</v>
      </c>
      <c r="D49" s="73">
        <v>1708025.39</v>
      </c>
      <c r="E49" s="73">
        <v>1092939.02</v>
      </c>
      <c r="F49" s="73">
        <v>930311.52</v>
      </c>
      <c r="G49" s="73">
        <v>615086.36999999988</v>
      </c>
    </row>
    <row r="50" spans="1:7" x14ac:dyDescent="0.25">
      <c r="A50" s="74" t="s">
        <v>346</v>
      </c>
      <c r="B50" s="73">
        <v>661664</v>
      </c>
      <c r="C50" s="73">
        <v>-661664</v>
      </c>
      <c r="D50" s="73">
        <v>0</v>
      </c>
      <c r="E50" s="73">
        <v>0</v>
      </c>
      <c r="F50" s="73">
        <v>0</v>
      </c>
      <c r="G50" s="73">
        <v>0</v>
      </c>
    </row>
    <row r="51" spans="1:7" x14ac:dyDescent="0.25">
      <c r="A51" s="74" t="s">
        <v>347</v>
      </c>
      <c r="B51" s="73">
        <v>129000</v>
      </c>
      <c r="C51" s="73">
        <v>-129000</v>
      </c>
      <c r="D51" s="73">
        <v>0</v>
      </c>
      <c r="E51" s="73">
        <v>0</v>
      </c>
      <c r="F51" s="73">
        <v>0</v>
      </c>
      <c r="G51" s="73">
        <v>0</v>
      </c>
    </row>
    <row r="52" spans="1:7" x14ac:dyDescent="0.25">
      <c r="A52" s="74" t="s">
        <v>348</v>
      </c>
      <c r="B52" s="73">
        <v>2793300</v>
      </c>
      <c r="C52" s="73">
        <v>404111.14</v>
      </c>
      <c r="D52" s="73">
        <v>3197411.1399999997</v>
      </c>
      <c r="E52" s="73">
        <v>3042034.49</v>
      </c>
      <c r="F52" s="73">
        <v>2857034.49</v>
      </c>
      <c r="G52" s="73">
        <v>155376.64999999944</v>
      </c>
    </row>
    <row r="53" spans="1:7" x14ac:dyDescent="0.25">
      <c r="A53" s="74" t="s">
        <v>349</v>
      </c>
      <c r="B53" s="73">
        <v>0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</row>
    <row r="54" spans="1:7" x14ac:dyDescent="0.25">
      <c r="A54" s="74" t="s">
        <v>350</v>
      </c>
      <c r="B54" s="73">
        <v>5076907.55</v>
      </c>
      <c r="C54" s="73">
        <v>-4182056.6499999994</v>
      </c>
      <c r="D54" s="73">
        <v>894850.90000000014</v>
      </c>
      <c r="E54" s="73">
        <v>557678.12999999989</v>
      </c>
      <c r="F54" s="73">
        <v>557678.12999999989</v>
      </c>
      <c r="G54" s="73">
        <v>337172.77000000025</v>
      </c>
    </row>
    <row r="55" spans="1:7" x14ac:dyDescent="0.25">
      <c r="A55" s="74" t="s">
        <v>351</v>
      </c>
      <c r="B55" s="73">
        <v>0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</row>
    <row r="56" spans="1:7" x14ac:dyDescent="0.25">
      <c r="A56" s="74" t="s">
        <v>352</v>
      </c>
      <c r="B56" s="73">
        <v>0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</row>
    <row r="57" spans="1:7" x14ac:dyDescent="0.25">
      <c r="A57" s="74" t="s">
        <v>353</v>
      </c>
      <c r="B57" s="73">
        <v>480958.67</v>
      </c>
      <c r="C57" s="73">
        <v>-5000</v>
      </c>
      <c r="D57" s="73">
        <v>475958.67</v>
      </c>
      <c r="E57" s="73">
        <v>383378.16</v>
      </c>
      <c r="F57" s="73">
        <v>383378.16</v>
      </c>
      <c r="G57" s="73">
        <v>92580.510000000009</v>
      </c>
    </row>
    <row r="58" spans="1:7" x14ac:dyDescent="0.25">
      <c r="A58" s="72" t="s">
        <v>354</v>
      </c>
      <c r="B58" s="73">
        <f>SUM(B59:B61)</f>
        <v>20359335.68</v>
      </c>
      <c r="C58" s="73">
        <f>SUM(C59:C61)</f>
        <v>397494.37999999709</v>
      </c>
      <c r="D58" s="73">
        <f t="shared" ref="D58:G58" si="7">SUM(D59:D61)</f>
        <v>20756830.059999999</v>
      </c>
      <c r="E58" s="73">
        <f t="shared" si="7"/>
        <v>14940239.790000003</v>
      </c>
      <c r="F58" s="73">
        <f t="shared" si="7"/>
        <v>11084957.600000003</v>
      </c>
      <c r="G58" s="73">
        <f t="shared" si="7"/>
        <v>5816590.2699999949</v>
      </c>
    </row>
    <row r="59" spans="1:7" x14ac:dyDescent="0.25">
      <c r="A59" s="74" t="s">
        <v>355</v>
      </c>
      <c r="B59" s="73">
        <v>0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</row>
    <row r="60" spans="1:7" x14ac:dyDescent="0.25">
      <c r="A60" s="74" t="s">
        <v>356</v>
      </c>
      <c r="B60" s="73">
        <v>17053370.329999998</v>
      </c>
      <c r="C60" s="73">
        <v>397494.37999999709</v>
      </c>
      <c r="D60" s="73">
        <v>17450864.709999997</v>
      </c>
      <c r="E60" s="73">
        <v>12132388.720000003</v>
      </c>
      <c r="F60" s="73">
        <v>8277106.530000004</v>
      </c>
      <c r="G60" s="73">
        <v>5318475.9899999946</v>
      </c>
    </row>
    <row r="61" spans="1:7" x14ac:dyDescent="0.25">
      <c r="A61" s="74" t="s">
        <v>357</v>
      </c>
      <c r="B61" s="73">
        <v>3305965.35</v>
      </c>
      <c r="C61" s="73">
        <v>0</v>
      </c>
      <c r="D61" s="73">
        <v>3305965.35</v>
      </c>
      <c r="E61" s="73">
        <v>2807851.07</v>
      </c>
      <c r="F61" s="73">
        <v>2807851.07</v>
      </c>
      <c r="G61" s="73">
        <v>498114.28000000026</v>
      </c>
    </row>
    <row r="62" spans="1:7" x14ac:dyDescent="0.25">
      <c r="A62" s="72" t="s">
        <v>358</v>
      </c>
      <c r="B62" s="73">
        <f>SUM(B63:B67,B69:B70)</f>
        <v>1341800</v>
      </c>
      <c r="C62" s="73">
        <f t="shared" ref="C62:G62" si="8">SUM(C63:C67,C69:C70)</f>
        <v>300</v>
      </c>
      <c r="D62" s="73">
        <f t="shared" si="8"/>
        <v>1342100</v>
      </c>
      <c r="E62" s="73">
        <f t="shared" si="8"/>
        <v>0</v>
      </c>
      <c r="F62" s="73">
        <f t="shared" si="8"/>
        <v>0</v>
      </c>
      <c r="G62" s="73">
        <f t="shared" si="8"/>
        <v>1342100</v>
      </c>
    </row>
    <row r="63" spans="1:7" x14ac:dyDescent="0.25">
      <c r="A63" s="74" t="s">
        <v>359</v>
      </c>
      <c r="B63" s="73">
        <v>0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</row>
    <row r="64" spans="1:7" x14ac:dyDescent="0.25">
      <c r="A64" s="74" t="s">
        <v>360</v>
      </c>
      <c r="B64" s="73">
        <v>0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</row>
    <row r="65" spans="1:7" x14ac:dyDescent="0.25">
      <c r="A65" s="74" t="s">
        <v>361</v>
      </c>
      <c r="B65" s="73">
        <v>0</v>
      </c>
      <c r="C65" s="73">
        <v>0</v>
      </c>
      <c r="D65" s="73">
        <v>0</v>
      </c>
      <c r="E65" s="73">
        <v>0</v>
      </c>
      <c r="F65" s="73">
        <v>0</v>
      </c>
      <c r="G65" s="73">
        <v>0</v>
      </c>
    </row>
    <row r="66" spans="1:7" x14ac:dyDescent="0.25">
      <c r="A66" s="74" t="s">
        <v>362</v>
      </c>
      <c r="B66" s="73">
        <v>0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</row>
    <row r="67" spans="1:7" x14ac:dyDescent="0.25">
      <c r="A67" s="74" t="s">
        <v>363</v>
      </c>
      <c r="B67" s="73">
        <v>0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</row>
    <row r="68" spans="1:7" x14ac:dyDescent="0.25">
      <c r="A68" s="74" t="s">
        <v>364</v>
      </c>
      <c r="B68" s="73">
        <v>0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</row>
    <row r="69" spans="1:7" x14ac:dyDescent="0.25">
      <c r="A69" s="74" t="s">
        <v>365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</row>
    <row r="70" spans="1:7" x14ac:dyDescent="0.25">
      <c r="A70" s="74" t="s">
        <v>366</v>
      </c>
      <c r="B70" s="73">
        <v>1341800</v>
      </c>
      <c r="C70" s="73">
        <v>300</v>
      </c>
      <c r="D70" s="73">
        <v>1342100</v>
      </c>
      <c r="E70" s="73">
        <v>0</v>
      </c>
      <c r="F70" s="73">
        <v>0</v>
      </c>
      <c r="G70" s="73">
        <v>1342100</v>
      </c>
    </row>
    <row r="71" spans="1:7" x14ac:dyDescent="0.25">
      <c r="A71" s="72" t="s">
        <v>367</v>
      </c>
      <c r="B71" s="73">
        <v>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</row>
    <row r="72" spans="1:7" x14ac:dyDescent="0.25">
      <c r="A72" s="74" t="s">
        <v>368</v>
      </c>
      <c r="B72" s="73">
        <v>0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</row>
    <row r="73" spans="1:7" x14ac:dyDescent="0.25">
      <c r="A73" s="74" t="s">
        <v>369</v>
      </c>
      <c r="B73" s="73">
        <v>0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</row>
    <row r="74" spans="1:7" x14ac:dyDescent="0.25">
      <c r="A74" s="74" t="s">
        <v>370</v>
      </c>
      <c r="B74" s="73">
        <v>0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</row>
    <row r="75" spans="1:7" x14ac:dyDescent="0.25">
      <c r="A75" s="72" t="s">
        <v>371</v>
      </c>
      <c r="B75" s="73">
        <f>SUM(B76:B82)</f>
        <v>0</v>
      </c>
      <c r="C75" s="73">
        <f t="shared" ref="C75:G75" si="9">SUM(C76:C82)</f>
        <v>73953638.129999995</v>
      </c>
      <c r="D75" s="73">
        <f t="shared" si="9"/>
        <v>73953638.129999995</v>
      </c>
      <c r="E75" s="73">
        <f t="shared" si="9"/>
        <v>48570611.75</v>
      </c>
      <c r="F75" s="73">
        <f t="shared" si="9"/>
        <v>47696096.989999995</v>
      </c>
      <c r="G75" s="73">
        <f t="shared" si="9"/>
        <v>25383026.379999995</v>
      </c>
    </row>
    <row r="76" spans="1:7" x14ac:dyDescent="0.25">
      <c r="A76" s="74" t="s">
        <v>372</v>
      </c>
      <c r="B76" s="73">
        <v>0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</row>
    <row r="77" spans="1:7" x14ac:dyDescent="0.25">
      <c r="A77" s="74" t="s">
        <v>373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</row>
    <row r="78" spans="1:7" x14ac:dyDescent="0.25">
      <c r="A78" s="74" t="s">
        <v>374</v>
      </c>
      <c r="B78" s="73">
        <v>0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</row>
    <row r="79" spans="1:7" x14ac:dyDescent="0.25">
      <c r="A79" s="74" t="s">
        <v>375</v>
      </c>
      <c r="B79" s="73">
        <v>0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</row>
    <row r="80" spans="1:7" x14ac:dyDescent="0.25">
      <c r="A80" s="74" t="s">
        <v>376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</row>
    <row r="81" spans="1:7" x14ac:dyDescent="0.25">
      <c r="A81" s="74" t="s">
        <v>377</v>
      </c>
      <c r="B81" s="73">
        <v>0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</row>
    <row r="82" spans="1:7" x14ac:dyDescent="0.25">
      <c r="A82" s="74" t="s">
        <v>378</v>
      </c>
      <c r="B82" s="73">
        <v>0</v>
      </c>
      <c r="C82" s="73">
        <v>73953638.129999995</v>
      </c>
      <c r="D82" s="73">
        <v>73953638.129999995</v>
      </c>
      <c r="E82" s="73">
        <v>48570611.75</v>
      </c>
      <c r="F82" s="73">
        <v>47696096.989999995</v>
      </c>
      <c r="G82" s="73">
        <v>25383026.379999995</v>
      </c>
    </row>
    <row r="83" spans="1:7" x14ac:dyDescent="0.25">
      <c r="A83" s="75"/>
      <c r="B83" s="76"/>
      <c r="C83" s="76"/>
      <c r="D83" s="76"/>
      <c r="E83" s="76"/>
      <c r="F83" s="76"/>
      <c r="G83" s="76"/>
    </row>
    <row r="84" spans="1:7" x14ac:dyDescent="0.25">
      <c r="A84" s="77" t="s">
        <v>379</v>
      </c>
      <c r="B84" s="71">
        <f>SUM(B85,B93,B103,B113,B123,B133,B137,B146,B150)</f>
        <v>0</v>
      </c>
      <c r="C84" s="71">
        <f t="shared" ref="C84:G84" si="10">SUM(C85,C93,C103,C113,C123,C133,C137,C146,C150)</f>
        <v>9931634.370000001</v>
      </c>
      <c r="D84" s="71">
        <f t="shared" si="10"/>
        <v>9931634.3699999992</v>
      </c>
      <c r="E84" s="71">
        <f t="shared" si="10"/>
        <v>9931634.3699999992</v>
      </c>
      <c r="F84" s="71">
        <f t="shared" si="10"/>
        <v>6192805.4799999995</v>
      </c>
      <c r="G84" s="71">
        <f t="shared" si="10"/>
        <v>0</v>
      </c>
    </row>
    <row r="85" spans="1:7" x14ac:dyDescent="0.25">
      <c r="A85" s="72" t="s">
        <v>306</v>
      </c>
      <c r="B85" s="73">
        <f>SUM(B86:B92)</f>
        <v>0</v>
      </c>
      <c r="C85" s="73">
        <f t="shared" ref="C85:G85" si="11">SUM(C86:C92)</f>
        <v>0</v>
      </c>
      <c r="D85" s="73">
        <f t="shared" si="11"/>
        <v>0</v>
      </c>
      <c r="E85" s="73">
        <f t="shared" si="11"/>
        <v>0</v>
      </c>
      <c r="F85" s="73">
        <f t="shared" si="11"/>
        <v>0</v>
      </c>
      <c r="G85" s="73">
        <f t="shared" si="11"/>
        <v>0</v>
      </c>
    </row>
    <row r="86" spans="1:7" x14ac:dyDescent="0.25">
      <c r="A86" s="74" t="s">
        <v>307</v>
      </c>
      <c r="B86" s="73">
        <v>0</v>
      </c>
      <c r="C86" s="73">
        <v>0</v>
      </c>
      <c r="D86" s="73">
        <v>0</v>
      </c>
      <c r="E86" s="73">
        <v>0</v>
      </c>
      <c r="F86" s="73">
        <v>0</v>
      </c>
      <c r="G86" s="73">
        <f>D86-E86</f>
        <v>0</v>
      </c>
    </row>
    <row r="87" spans="1:7" x14ac:dyDescent="0.25">
      <c r="A87" s="74" t="s">
        <v>308</v>
      </c>
      <c r="B87" s="73">
        <v>0</v>
      </c>
      <c r="C87" s="73">
        <v>0</v>
      </c>
      <c r="D87" s="73">
        <v>0</v>
      </c>
      <c r="E87" s="73">
        <v>0</v>
      </c>
      <c r="F87" s="73">
        <v>0</v>
      </c>
      <c r="G87" s="73">
        <f t="shared" ref="G87:G92" si="12">D87-E87</f>
        <v>0</v>
      </c>
    </row>
    <row r="88" spans="1:7" x14ac:dyDescent="0.25">
      <c r="A88" s="74" t="s">
        <v>309</v>
      </c>
      <c r="B88" s="73">
        <v>0</v>
      </c>
      <c r="C88" s="73">
        <v>0</v>
      </c>
      <c r="D88" s="73">
        <v>0</v>
      </c>
      <c r="E88" s="73">
        <v>0</v>
      </c>
      <c r="F88" s="73">
        <v>0</v>
      </c>
      <c r="G88" s="73">
        <f t="shared" si="12"/>
        <v>0</v>
      </c>
    </row>
    <row r="89" spans="1:7" x14ac:dyDescent="0.25">
      <c r="A89" s="74" t="s">
        <v>310</v>
      </c>
      <c r="B89" s="73">
        <v>0</v>
      </c>
      <c r="C89" s="73">
        <v>0</v>
      </c>
      <c r="D89" s="73">
        <v>0</v>
      </c>
      <c r="E89" s="73">
        <v>0</v>
      </c>
      <c r="F89" s="73">
        <v>0</v>
      </c>
      <c r="G89" s="73">
        <f t="shared" si="12"/>
        <v>0</v>
      </c>
    </row>
    <row r="90" spans="1:7" x14ac:dyDescent="0.25">
      <c r="A90" s="74" t="s">
        <v>311</v>
      </c>
      <c r="B90" s="73">
        <v>0</v>
      </c>
      <c r="C90" s="73">
        <v>0</v>
      </c>
      <c r="D90" s="73">
        <v>0</v>
      </c>
      <c r="E90" s="73">
        <v>0</v>
      </c>
      <c r="F90" s="73">
        <v>0</v>
      </c>
      <c r="G90" s="73">
        <f t="shared" si="12"/>
        <v>0</v>
      </c>
    </row>
    <row r="91" spans="1:7" x14ac:dyDescent="0.25">
      <c r="A91" s="74" t="s">
        <v>312</v>
      </c>
      <c r="B91" s="73">
        <v>0</v>
      </c>
      <c r="C91" s="73">
        <v>0</v>
      </c>
      <c r="D91" s="73">
        <v>0</v>
      </c>
      <c r="E91" s="73">
        <v>0</v>
      </c>
      <c r="F91" s="73">
        <v>0</v>
      </c>
      <c r="G91" s="73">
        <f t="shared" si="12"/>
        <v>0</v>
      </c>
    </row>
    <row r="92" spans="1:7" x14ac:dyDescent="0.25">
      <c r="A92" s="74" t="s">
        <v>313</v>
      </c>
      <c r="B92" s="73">
        <v>0</v>
      </c>
      <c r="C92" s="73">
        <v>0</v>
      </c>
      <c r="D92" s="73">
        <v>0</v>
      </c>
      <c r="E92" s="73">
        <v>0</v>
      </c>
      <c r="F92" s="73">
        <v>0</v>
      </c>
      <c r="G92" s="73">
        <f t="shared" si="12"/>
        <v>0</v>
      </c>
    </row>
    <row r="93" spans="1:7" x14ac:dyDescent="0.25">
      <c r="A93" s="72" t="s">
        <v>314</v>
      </c>
      <c r="B93" s="73">
        <f>SUM(B94:B102)</f>
        <v>0</v>
      </c>
      <c r="C93" s="73">
        <f t="shared" ref="C93:G93" si="13">SUM(C94:C102)</f>
        <v>6827.75</v>
      </c>
      <c r="D93" s="73">
        <f t="shared" si="13"/>
        <v>6827.75</v>
      </c>
      <c r="E93" s="73">
        <f t="shared" si="13"/>
        <v>6827.75</v>
      </c>
      <c r="F93" s="73">
        <f t="shared" si="13"/>
        <v>6827.75</v>
      </c>
      <c r="G93" s="73">
        <f t="shared" si="13"/>
        <v>0</v>
      </c>
    </row>
    <row r="94" spans="1:7" x14ac:dyDescent="0.25">
      <c r="A94" s="74" t="s">
        <v>315</v>
      </c>
      <c r="B94" s="73">
        <v>0</v>
      </c>
      <c r="C94" s="73">
        <v>0</v>
      </c>
      <c r="D94" s="73">
        <v>0</v>
      </c>
      <c r="E94" s="73">
        <v>0</v>
      </c>
      <c r="F94" s="73">
        <v>0</v>
      </c>
      <c r="G94" s="73">
        <v>0</v>
      </c>
    </row>
    <row r="95" spans="1:7" x14ac:dyDescent="0.25">
      <c r="A95" s="74" t="s">
        <v>316</v>
      </c>
      <c r="B95" s="73">
        <v>0</v>
      </c>
      <c r="C95" s="73">
        <v>0</v>
      </c>
      <c r="D95" s="73">
        <v>0</v>
      </c>
      <c r="E95" s="73">
        <v>0</v>
      </c>
      <c r="F95" s="73">
        <v>0</v>
      </c>
      <c r="G95" s="73">
        <v>0</v>
      </c>
    </row>
    <row r="96" spans="1:7" x14ac:dyDescent="0.25">
      <c r="A96" s="74" t="s">
        <v>317</v>
      </c>
      <c r="B96" s="73">
        <v>0</v>
      </c>
      <c r="C96" s="73">
        <v>0</v>
      </c>
      <c r="D96" s="73">
        <v>0</v>
      </c>
      <c r="E96" s="73">
        <v>0</v>
      </c>
      <c r="F96" s="73">
        <v>0</v>
      </c>
      <c r="G96" s="73">
        <v>0</v>
      </c>
    </row>
    <row r="97" spans="1:7" x14ac:dyDescent="0.25">
      <c r="A97" s="74" t="s">
        <v>318</v>
      </c>
      <c r="B97" s="73">
        <v>0</v>
      </c>
      <c r="C97" s="73">
        <v>3547.41</v>
      </c>
      <c r="D97" s="73">
        <v>3547.41</v>
      </c>
      <c r="E97" s="73">
        <v>3547.41</v>
      </c>
      <c r="F97" s="73">
        <v>3547.41</v>
      </c>
      <c r="G97" s="73">
        <v>0</v>
      </c>
    </row>
    <row r="98" spans="1:7" x14ac:dyDescent="0.25">
      <c r="A98" s="78" t="s">
        <v>319</v>
      </c>
      <c r="B98" s="73">
        <v>0</v>
      </c>
      <c r="C98" s="73">
        <v>0</v>
      </c>
      <c r="D98" s="73">
        <v>0</v>
      </c>
      <c r="E98" s="73">
        <v>0</v>
      </c>
      <c r="F98" s="73">
        <v>0</v>
      </c>
      <c r="G98" s="73">
        <v>0</v>
      </c>
    </row>
    <row r="99" spans="1:7" x14ac:dyDescent="0.25">
      <c r="A99" s="74" t="s">
        <v>320</v>
      </c>
      <c r="B99" s="73">
        <v>0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</row>
    <row r="100" spans="1:7" x14ac:dyDescent="0.25">
      <c r="A100" s="74" t="s">
        <v>321</v>
      </c>
      <c r="B100" s="73">
        <v>0</v>
      </c>
      <c r="C100" s="73">
        <v>0</v>
      </c>
      <c r="D100" s="73">
        <v>0</v>
      </c>
      <c r="E100" s="73">
        <v>0</v>
      </c>
      <c r="F100" s="73">
        <v>0</v>
      </c>
      <c r="G100" s="73">
        <v>0</v>
      </c>
    </row>
    <row r="101" spans="1:7" x14ac:dyDescent="0.25">
      <c r="A101" s="74" t="s">
        <v>322</v>
      </c>
      <c r="B101" s="73">
        <v>0</v>
      </c>
      <c r="C101" s="73">
        <v>0</v>
      </c>
      <c r="D101" s="73">
        <v>0</v>
      </c>
      <c r="E101" s="73">
        <v>0</v>
      </c>
      <c r="F101" s="73">
        <v>0</v>
      </c>
      <c r="G101" s="73">
        <v>0</v>
      </c>
    </row>
    <row r="102" spans="1:7" x14ac:dyDescent="0.25">
      <c r="A102" s="74" t="s">
        <v>323</v>
      </c>
      <c r="B102" s="73">
        <v>0</v>
      </c>
      <c r="C102" s="73">
        <v>3280.34</v>
      </c>
      <c r="D102" s="73">
        <v>3280.34</v>
      </c>
      <c r="E102" s="73">
        <v>3280.34</v>
      </c>
      <c r="F102" s="73">
        <v>3280.34</v>
      </c>
      <c r="G102" s="73">
        <v>0</v>
      </c>
    </row>
    <row r="103" spans="1:7" x14ac:dyDescent="0.25">
      <c r="A103" s="72" t="s">
        <v>324</v>
      </c>
      <c r="B103" s="73">
        <f>SUM(B104:B112)</f>
        <v>0</v>
      </c>
      <c r="C103" s="73">
        <f>SUM(C104:C112)</f>
        <v>0</v>
      </c>
      <c r="D103" s="73">
        <f t="shared" ref="D103:G103" si="14">SUM(D104:D112)</f>
        <v>0</v>
      </c>
      <c r="E103" s="73">
        <f t="shared" si="14"/>
        <v>0</v>
      </c>
      <c r="F103" s="73">
        <f t="shared" si="14"/>
        <v>0</v>
      </c>
      <c r="G103" s="73">
        <f t="shared" si="14"/>
        <v>0</v>
      </c>
    </row>
    <row r="104" spans="1:7" x14ac:dyDescent="0.25">
      <c r="A104" s="74" t="s">
        <v>325</v>
      </c>
      <c r="B104" s="73">
        <v>0</v>
      </c>
      <c r="C104" s="73">
        <v>0</v>
      </c>
      <c r="D104" s="73">
        <v>0</v>
      </c>
      <c r="E104" s="73">
        <v>0</v>
      </c>
      <c r="F104" s="73">
        <v>0</v>
      </c>
      <c r="G104" s="73">
        <f>D104-E104</f>
        <v>0</v>
      </c>
    </row>
    <row r="105" spans="1:7" x14ac:dyDescent="0.25">
      <c r="A105" s="74" t="s">
        <v>326</v>
      </c>
      <c r="B105" s="73">
        <v>0</v>
      </c>
      <c r="C105" s="73">
        <v>0</v>
      </c>
      <c r="D105" s="73">
        <v>0</v>
      </c>
      <c r="E105" s="73">
        <v>0</v>
      </c>
      <c r="F105" s="73">
        <v>0</v>
      </c>
      <c r="G105" s="73">
        <f t="shared" ref="G105:G112" si="15">D105-E105</f>
        <v>0</v>
      </c>
    </row>
    <row r="106" spans="1:7" x14ac:dyDescent="0.25">
      <c r="A106" s="74" t="s">
        <v>327</v>
      </c>
      <c r="B106" s="73">
        <v>0</v>
      </c>
      <c r="C106" s="73">
        <v>0</v>
      </c>
      <c r="D106" s="73">
        <v>0</v>
      </c>
      <c r="E106" s="73">
        <v>0</v>
      </c>
      <c r="F106" s="73">
        <v>0</v>
      </c>
      <c r="G106" s="73">
        <f t="shared" si="15"/>
        <v>0</v>
      </c>
    </row>
    <row r="107" spans="1:7" x14ac:dyDescent="0.25">
      <c r="A107" s="74" t="s">
        <v>328</v>
      </c>
      <c r="B107" s="73">
        <v>0</v>
      </c>
      <c r="C107" s="73">
        <v>0</v>
      </c>
      <c r="D107" s="73">
        <v>0</v>
      </c>
      <c r="E107" s="73">
        <v>0</v>
      </c>
      <c r="F107" s="73">
        <v>0</v>
      </c>
      <c r="G107" s="73">
        <f t="shared" si="15"/>
        <v>0</v>
      </c>
    </row>
    <row r="108" spans="1:7" x14ac:dyDescent="0.25">
      <c r="A108" s="74" t="s">
        <v>329</v>
      </c>
      <c r="B108" s="73">
        <v>0</v>
      </c>
      <c r="C108" s="73">
        <v>0</v>
      </c>
      <c r="D108" s="73">
        <v>0</v>
      </c>
      <c r="E108" s="73">
        <v>0</v>
      </c>
      <c r="F108" s="73">
        <v>0</v>
      </c>
      <c r="G108" s="73">
        <f t="shared" si="15"/>
        <v>0</v>
      </c>
    </row>
    <row r="109" spans="1:7" x14ac:dyDescent="0.25">
      <c r="A109" s="74" t="s">
        <v>330</v>
      </c>
      <c r="B109" s="73">
        <v>0</v>
      </c>
      <c r="C109" s="73">
        <v>0</v>
      </c>
      <c r="D109" s="73">
        <v>0</v>
      </c>
      <c r="E109" s="73">
        <v>0</v>
      </c>
      <c r="F109" s="73">
        <v>0</v>
      </c>
      <c r="G109" s="73">
        <f t="shared" si="15"/>
        <v>0</v>
      </c>
    </row>
    <row r="110" spans="1:7" x14ac:dyDescent="0.25">
      <c r="A110" s="74" t="s">
        <v>331</v>
      </c>
      <c r="B110" s="73">
        <v>0</v>
      </c>
      <c r="C110" s="73">
        <v>0</v>
      </c>
      <c r="D110" s="73">
        <v>0</v>
      </c>
      <c r="E110" s="73">
        <v>0</v>
      </c>
      <c r="F110" s="73">
        <v>0</v>
      </c>
      <c r="G110" s="73">
        <f t="shared" si="15"/>
        <v>0</v>
      </c>
    </row>
    <row r="111" spans="1:7" x14ac:dyDescent="0.25">
      <c r="A111" s="74" t="s">
        <v>332</v>
      </c>
      <c r="B111" s="73">
        <v>0</v>
      </c>
      <c r="C111" s="73">
        <v>0</v>
      </c>
      <c r="D111" s="73">
        <v>0</v>
      </c>
      <c r="E111" s="73">
        <v>0</v>
      </c>
      <c r="F111" s="73">
        <v>0</v>
      </c>
      <c r="G111" s="73">
        <f t="shared" si="15"/>
        <v>0</v>
      </c>
    </row>
    <row r="112" spans="1:7" x14ac:dyDescent="0.25">
      <c r="A112" s="74" t="s">
        <v>333</v>
      </c>
      <c r="B112" s="73">
        <v>0</v>
      </c>
      <c r="C112" s="73">
        <v>0</v>
      </c>
      <c r="D112" s="73">
        <v>0</v>
      </c>
      <c r="E112" s="73">
        <v>0</v>
      </c>
      <c r="F112" s="73">
        <v>0</v>
      </c>
      <c r="G112" s="73">
        <f t="shared" si="15"/>
        <v>0</v>
      </c>
    </row>
    <row r="113" spans="1:7" x14ac:dyDescent="0.25">
      <c r="A113" s="72" t="s">
        <v>334</v>
      </c>
      <c r="B113" s="73">
        <f>SUM(B114:B122)</f>
        <v>0</v>
      </c>
      <c r="C113" s="73">
        <f t="shared" ref="C113:G113" si="16">SUM(C114:C122)</f>
        <v>0</v>
      </c>
      <c r="D113" s="73">
        <f t="shared" si="16"/>
        <v>0</v>
      </c>
      <c r="E113" s="73">
        <f t="shared" si="16"/>
        <v>0</v>
      </c>
      <c r="F113" s="73">
        <f t="shared" si="16"/>
        <v>0</v>
      </c>
      <c r="G113" s="73">
        <f t="shared" si="16"/>
        <v>0</v>
      </c>
    </row>
    <row r="114" spans="1:7" x14ac:dyDescent="0.25">
      <c r="A114" s="74" t="s">
        <v>335</v>
      </c>
      <c r="B114" s="73">
        <v>0</v>
      </c>
      <c r="C114" s="73">
        <v>0</v>
      </c>
      <c r="D114" s="73">
        <v>0</v>
      </c>
      <c r="E114" s="73">
        <v>0</v>
      </c>
      <c r="F114" s="73">
        <v>0</v>
      </c>
      <c r="G114" s="73">
        <f>D114-E114</f>
        <v>0</v>
      </c>
    </row>
    <row r="115" spans="1:7" x14ac:dyDescent="0.25">
      <c r="A115" s="74" t="s">
        <v>336</v>
      </c>
      <c r="B115" s="73">
        <v>0</v>
      </c>
      <c r="C115" s="73">
        <v>0</v>
      </c>
      <c r="D115" s="73">
        <v>0</v>
      </c>
      <c r="E115" s="73">
        <v>0</v>
      </c>
      <c r="F115" s="73">
        <v>0</v>
      </c>
      <c r="G115" s="73">
        <f t="shared" ref="G115:G122" si="17">D115-E115</f>
        <v>0</v>
      </c>
    </row>
    <row r="116" spans="1:7" x14ac:dyDescent="0.25">
      <c r="A116" s="74" t="s">
        <v>337</v>
      </c>
      <c r="B116" s="73">
        <v>0</v>
      </c>
      <c r="C116" s="73">
        <v>0</v>
      </c>
      <c r="D116" s="73">
        <v>0</v>
      </c>
      <c r="E116" s="73">
        <v>0</v>
      </c>
      <c r="F116" s="73">
        <v>0</v>
      </c>
      <c r="G116" s="73">
        <f t="shared" si="17"/>
        <v>0</v>
      </c>
    </row>
    <row r="117" spans="1:7" x14ac:dyDescent="0.25">
      <c r="A117" s="74" t="s">
        <v>338</v>
      </c>
      <c r="B117" s="73">
        <v>0</v>
      </c>
      <c r="C117" s="73">
        <v>0</v>
      </c>
      <c r="D117" s="73">
        <v>0</v>
      </c>
      <c r="E117" s="73">
        <v>0</v>
      </c>
      <c r="F117" s="73">
        <v>0</v>
      </c>
      <c r="G117" s="73">
        <f t="shared" si="17"/>
        <v>0</v>
      </c>
    </row>
    <row r="118" spans="1:7" x14ac:dyDescent="0.25">
      <c r="A118" s="74" t="s">
        <v>339</v>
      </c>
      <c r="B118" s="73">
        <v>0</v>
      </c>
      <c r="C118" s="73">
        <v>0</v>
      </c>
      <c r="D118" s="73">
        <v>0</v>
      </c>
      <c r="E118" s="73">
        <v>0</v>
      </c>
      <c r="F118" s="73">
        <v>0</v>
      </c>
      <c r="G118" s="73">
        <f t="shared" si="17"/>
        <v>0</v>
      </c>
    </row>
    <row r="119" spans="1:7" x14ac:dyDescent="0.25">
      <c r="A119" s="74" t="s">
        <v>340</v>
      </c>
      <c r="B119" s="73">
        <v>0</v>
      </c>
      <c r="C119" s="73">
        <v>0</v>
      </c>
      <c r="D119" s="73">
        <v>0</v>
      </c>
      <c r="E119" s="73">
        <v>0</v>
      </c>
      <c r="F119" s="73">
        <v>0</v>
      </c>
      <c r="G119" s="73">
        <f t="shared" si="17"/>
        <v>0</v>
      </c>
    </row>
    <row r="120" spans="1:7" x14ac:dyDescent="0.25">
      <c r="A120" s="74" t="s">
        <v>341</v>
      </c>
      <c r="B120" s="73">
        <v>0</v>
      </c>
      <c r="C120" s="73">
        <v>0</v>
      </c>
      <c r="D120" s="73">
        <v>0</v>
      </c>
      <c r="E120" s="73">
        <v>0</v>
      </c>
      <c r="F120" s="73">
        <v>0</v>
      </c>
      <c r="G120" s="73">
        <f t="shared" si="17"/>
        <v>0</v>
      </c>
    </row>
    <row r="121" spans="1:7" x14ac:dyDescent="0.25">
      <c r="A121" s="74" t="s">
        <v>342</v>
      </c>
      <c r="B121" s="73">
        <v>0</v>
      </c>
      <c r="C121" s="73">
        <v>0</v>
      </c>
      <c r="D121" s="73">
        <v>0</v>
      </c>
      <c r="E121" s="73">
        <v>0</v>
      </c>
      <c r="F121" s="73">
        <v>0</v>
      </c>
      <c r="G121" s="73">
        <f t="shared" si="17"/>
        <v>0</v>
      </c>
    </row>
    <row r="122" spans="1:7" x14ac:dyDescent="0.25">
      <c r="A122" s="74" t="s">
        <v>343</v>
      </c>
      <c r="B122" s="73">
        <v>0</v>
      </c>
      <c r="C122" s="73">
        <v>0</v>
      </c>
      <c r="D122" s="73">
        <v>0</v>
      </c>
      <c r="E122" s="73">
        <v>0</v>
      </c>
      <c r="F122" s="73">
        <v>0</v>
      </c>
      <c r="G122" s="73">
        <f t="shared" si="17"/>
        <v>0</v>
      </c>
    </row>
    <row r="123" spans="1:7" x14ac:dyDescent="0.25">
      <c r="A123" s="72" t="s">
        <v>344</v>
      </c>
      <c r="B123" s="73">
        <f>SUM(B124:B132)</f>
        <v>0</v>
      </c>
      <c r="C123" s="73">
        <f t="shared" ref="C123:G123" si="18">SUM(C124:C132)</f>
        <v>9718.1</v>
      </c>
      <c r="D123" s="73">
        <f t="shared" si="18"/>
        <v>9718.1</v>
      </c>
      <c r="E123" s="73">
        <f t="shared" si="18"/>
        <v>9718.1</v>
      </c>
      <c r="F123" s="73">
        <f t="shared" si="18"/>
        <v>9718.1</v>
      </c>
      <c r="G123" s="73">
        <f t="shared" si="18"/>
        <v>0</v>
      </c>
    </row>
    <row r="124" spans="1:7" x14ac:dyDescent="0.25">
      <c r="A124" s="74" t="s">
        <v>345</v>
      </c>
      <c r="B124" s="73">
        <v>0</v>
      </c>
      <c r="C124" s="73">
        <v>9718.1</v>
      </c>
      <c r="D124" s="73">
        <v>9718.1</v>
      </c>
      <c r="E124" s="73">
        <v>9718.1</v>
      </c>
      <c r="F124" s="73">
        <v>9718.1</v>
      </c>
      <c r="G124" s="73">
        <v>0</v>
      </c>
    </row>
    <row r="125" spans="1:7" x14ac:dyDescent="0.25">
      <c r="A125" s="74" t="s">
        <v>346</v>
      </c>
      <c r="B125" s="73">
        <v>0</v>
      </c>
      <c r="C125" s="73">
        <v>0</v>
      </c>
      <c r="D125" s="73">
        <v>0</v>
      </c>
      <c r="E125" s="73">
        <v>0</v>
      </c>
      <c r="F125" s="73">
        <v>0</v>
      </c>
      <c r="G125" s="73">
        <v>0</v>
      </c>
    </row>
    <row r="126" spans="1:7" x14ac:dyDescent="0.25">
      <c r="A126" s="74" t="s">
        <v>347</v>
      </c>
      <c r="B126" s="73">
        <v>0</v>
      </c>
      <c r="C126" s="73">
        <v>0</v>
      </c>
      <c r="D126" s="73">
        <v>0</v>
      </c>
      <c r="E126" s="73">
        <v>0</v>
      </c>
      <c r="F126" s="73">
        <v>0</v>
      </c>
      <c r="G126" s="73">
        <v>0</v>
      </c>
    </row>
    <row r="127" spans="1:7" x14ac:dyDescent="0.25">
      <c r="A127" s="74" t="s">
        <v>348</v>
      </c>
      <c r="B127" s="73">
        <v>0</v>
      </c>
      <c r="C127" s="73">
        <v>0</v>
      </c>
      <c r="D127" s="73">
        <v>0</v>
      </c>
      <c r="E127" s="73">
        <v>0</v>
      </c>
      <c r="F127" s="73">
        <v>0</v>
      </c>
      <c r="G127" s="73">
        <v>0</v>
      </c>
    </row>
    <row r="128" spans="1:7" x14ac:dyDescent="0.25">
      <c r="A128" s="74" t="s">
        <v>349</v>
      </c>
      <c r="B128" s="73">
        <v>0</v>
      </c>
      <c r="C128" s="73">
        <v>0</v>
      </c>
      <c r="D128" s="73">
        <v>0</v>
      </c>
      <c r="E128" s="73">
        <v>0</v>
      </c>
      <c r="F128" s="73">
        <v>0</v>
      </c>
      <c r="G128" s="73">
        <v>0</v>
      </c>
    </row>
    <row r="129" spans="1:7" x14ac:dyDescent="0.25">
      <c r="A129" s="74" t="s">
        <v>350</v>
      </c>
      <c r="B129" s="73">
        <v>0</v>
      </c>
      <c r="C129" s="73">
        <v>0</v>
      </c>
      <c r="D129" s="73">
        <v>0</v>
      </c>
      <c r="E129" s="73">
        <v>0</v>
      </c>
      <c r="F129" s="73">
        <v>0</v>
      </c>
      <c r="G129" s="73">
        <v>0</v>
      </c>
    </row>
    <row r="130" spans="1:7" x14ac:dyDescent="0.25">
      <c r="A130" s="74" t="s">
        <v>351</v>
      </c>
      <c r="B130" s="73">
        <v>0</v>
      </c>
      <c r="C130" s="73">
        <v>0</v>
      </c>
      <c r="D130" s="73">
        <v>0</v>
      </c>
      <c r="E130" s="73">
        <v>0</v>
      </c>
      <c r="F130" s="73">
        <v>0</v>
      </c>
      <c r="G130" s="73">
        <v>0</v>
      </c>
    </row>
    <row r="131" spans="1:7" x14ac:dyDescent="0.25">
      <c r="A131" s="74" t="s">
        <v>352</v>
      </c>
      <c r="B131" s="73">
        <v>0</v>
      </c>
      <c r="C131" s="73">
        <v>0</v>
      </c>
      <c r="D131" s="73">
        <v>0</v>
      </c>
      <c r="E131" s="73">
        <v>0</v>
      </c>
      <c r="F131" s="73">
        <v>0</v>
      </c>
      <c r="G131" s="73">
        <v>0</v>
      </c>
    </row>
    <row r="132" spans="1:7" x14ac:dyDescent="0.25">
      <c r="A132" s="74" t="s">
        <v>353</v>
      </c>
      <c r="B132" s="73">
        <v>0</v>
      </c>
      <c r="C132" s="73">
        <v>0</v>
      </c>
      <c r="D132" s="73">
        <v>0</v>
      </c>
      <c r="E132" s="73">
        <v>0</v>
      </c>
      <c r="F132" s="73">
        <v>0</v>
      </c>
      <c r="G132" s="73">
        <v>0</v>
      </c>
    </row>
    <row r="133" spans="1:7" x14ac:dyDescent="0.25">
      <c r="A133" s="72" t="s">
        <v>354</v>
      </c>
      <c r="B133" s="73">
        <f>SUM(B134:B136)</f>
        <v>0</v>
      </c>
      <c r="C133" s="73">
        <f t="shared" ref="C133:G133" si="19">SUM(C134:C136)</f>
        <v>9915088.5200000014</v>
      </c>
      <c r="D133" s="73">
        <f t="shared" si="19"/>
        <v>9915088.5199999996</v>
      </c>
      <c r="E133" s="73">
        <f t="shared" si="19"/>
        <v>9915088.5199999996</v>
      </c>
      <c r="F133" s="73">
        <f t="shared" si="19"/>
        <v>6176259.6299999999</v>
      </c>
      <c r="G133" s="73">
        <f t="shared" si="19"/>
        <v>0</v>
      </c>
    </row>
    <row r="134" spans="1:7" x14ac:dyDescent="0.25">
      <c r="A134" s="74" t="s">
        <v>355</v>
      </c>
      <c r="B134" s="73">
        <v>0</v>
      </c>
      <c r="C134" s="73">
        <v>0</v>
      </c>
      <c r="D134" s="73">
        <v>0</v>
      </c>
      <c r="E134" s="73">
        <v>0</v>
      </c>
      <c r="F134" s="73">
        <v>0</v>
      </c>
      <c r="G134" s="73">
        <f>D134-E134</f>
        <v>0</v>
      </c>
    </row>
    <row r="135" spans="1:7" x14ac:dyDescent="0.25">
      <c r="A135" s="74" t="s">
        <v>356</v>
      </c>
      <c r="B135" s="73">
        <v>0</v>
      </c>
      <c r="C135" s="73">
        <v>9915088.5200000014</v>
      </c>
      <c r="D135" s="73">
        <v>9915088.5199999996</v>
      </c>
      <c r="E135" s="73">
        <v>9915088.5199999996</v>
      </c>
      <c r="F135" s="73">
        <v>6176259.6299999999</v>
      </c>
      <c r="G135" s="73">
        <v>0</v>
      </c>
    </row>
    <row r="136" spans="1:7" x14ac:dyDescent="0.25">
      <c r="A136" s="74" t="s">
        <v>357</v>
      </c>
      <c r="B136" s="73">
        <v>0</v>
      </c>
      <c r="C136" s="73">
        <v>0</v>
      </c>
      <c r="D136" s="73">
        <v>0</v>
      </c>
      <c r="E136" s="73">
        <v>0</v>
      </c>
      <c r="F136" s="73">
        <v>0</v>
      </c>
      <c r="G136" s="73">
        <f t="shared" ref="G136" si="20">D136-E136</f>
        <v>0</v>
      </c>
    </row>
    <row r="137" spans="1:7" x14ac:dyDescent="0.25">
      <c r="A137" s="72" t="s">
        <v>358</v>
      </c>
      <c r="B137" s="73">
        <f>SUM(B138:B142,B144:B145)</f>
        <v>0</v>
      </c>
      <c r="C137" s="73">
        <f t="shared" ref="C137:G137" si="21">SUM(C138:C142,C144:C145)</f>
        <v>0</v>
      </c>
      <c r="D137" s="73">
        <f t="shared" si="21"/>
        <v>0</v>
      </c>
      <c r="E137" s="73">
        <f t="shared" si="21"/>
        <v>0</v>
      </c>
      <c r="F137" s="73">
        <f t="shared" si="21"/>
        <v>0</v>
      </c>
      <c r="G137" s="73">
        <f t="shared" si="21"/>
        <v>0</v>
      </c>
    </row>
    <row r="138" spans="1:7" x14ac:dyDescent="0.25">
      <c r="A138" s="74" t="s">
        <v>359</v>
      </c>
      <c r="B138" s="73">
        <v>0</v>
      </c>
      <c r="C138" s="73">
        <v>0</v>
      </c>
      <c r="D138" s="73">
        <v>0</v>
      </c>
      <c r="E138" s="73">
        <v>0</v>
      </c>
      <c r="F138" s="73">
        <v>0</v>
      </c>
      <c r="G138" s="73">
        <f>D138-E138</f>
        <v>0</v>
      </c>
    </row>
    <row r="139" spans="1:7" x14ac:dyDescent="0.25">
      <c r="A139" s="74" t="s">
        <v>360</v>
      </c>
      <c r="B139" s="73">
        <v>0</v>
      </c>
      <c r="C139" s="73">
        <v>0</v>
      </c>
      <c r="D139" s="73">
        <v>0</v>
      </c>
      <c r="E139" s="73">
        <v>0</v>
      </c>
      <c r="F139" s="73">
        <v>0</v>
      </c>
      <c r="G139" s="73">
        <f t="shared" ref="G139:G145" si="22">D139-E139</f>
        <v>0</v>
      </c>
    </row>
    <row r="140" spans="1:7" x14ac:dyDescent="0.25">
      <c r="A140" s="74" t="s">
        <v>361</v>
      </c>
      <c r="B140" s="73">
        <v>0</v>
      </c>
      <c r="C140" s="73">
        <v>0</v>
      </c>
      <c r="D140" s="73">
        <v>0</v>
      </c>
      <c r="E140" s="73">
        <v>0</v>
      </c>
      <c r="F140" s="73">
        <v>0</v>
      </c>
      <c r="G140" s="73">
        <f t="shared" si="22"/>
        <v>0</v>
      </c>
    </row>
    <row r="141" spans="1:7" x14ac:dyDescent="0.25">
      <c r="A141" s="74" t="s">
        <v>362</v>
      </c>
      <c r="B141" s="73">
        <v>0</v>
      </c>
      <c r="C141" s="73">
        <v>0</v>
      </c>
      <c r="D141" s="73">
        <v>0</v>
      </c>
      <c r="E141" s="73">
        <v>0</v>
      </c>
      <c r="F141" s="73">
        <v>0</v>
      </c>
      <c r="G141" s="73">
        <f t="shared" si="22"/>
        <v>0</v>
      </c>
    </row>
    <row r="142" spans="1:7" x14ac:dyDescent="0.25">
      <c r="A142" s="74" t="s">
        <v>363</v>
      </c>
      <c r="B142" s="73">
        <v>0</v>
      </c>
      <c r="C142" s="73">
        <v>0</v>
      </c>
      <c r="D142" s="73">
        <v>0</v>
      </c>
      <c r="E142" s="73">
        <v>0</v>
      </c>
      <c r="F142" s="73">
        <v>0</v>
      </c>
      <c r="G142" s="73">
        <f t="shared" si="22"/>
        <v>0</v>
      </c>
    </row>
    <row r="143" spans="1:7" x14ac:dyDescent="0.25">
      <c r="A143" s="74" t="s">
        <v>364</v>
      </c>
      <c r="B143" s="73">
        <v>0</v>
      </c>
      <c r="C143" s="73">
        <v>0</v>
      </c>
      <c r="D143" s="73">
        <v>0</v>
      </c>
      <c r="E143" s="73">
        <v>0</v>
      </c>
      <c r="F143" s="73">
        <v>0</v>
      </c>
      <c r="G143" s="73">
        <f t="shared" si="22"/>
        <v>0</v>
      </c>
    </row>
    <row r="144" spans="1:7" x14ac:dyDescent="0.25">
      <c r="A144" s="74" t="s">
        <v>365</v>
      </c>
      <c r="B144" s="73">
        <v>0</v>
      </c>
      <c r="C144" s="73">
        <v>0</v>
      </c>
      <c r="D144" s="73">
        <v>0</v>
      </c>
      <c r="E144" s="73">
        <v>0</v>
      </c>
      <c r="F144" s="73">
        <v>0</v>
      </c>
      <c r="G144" s="73">
        <f t="shared" si="22"/>
        <v>0</v>
      </c>
    </row>
    <row r="145" spans="1:7" x14ac:dyDescent="0.25">
      <c r="A145" s="74" t="s">
        <v>366</v>
      </c>
      <c r="B145" s="73">
        <v>0</v>
      </c>
      <c r="C145" s="73">
        <v>0</v>
      </c>
      <c r="D145" s="73">
        <v>0</v>
      </c>
      <c r="E145" s="73">
        <v>0</v>
      </c>
      <c r="F145" s="73">
        <v>0</v>
      </c>
      <c r="G145" s="73">
        <f t="shared" si="22"/>
        <v>0</v>
      </c>
    </row>
    <row r="146" spans="1:7" x14ac:dyDescent="0.25">
      <c r="A146" s="72" t="s">
        <v>367</v>
      </c>
      <c r="B146" s="73">
        <f>SUM(B147:B149)</f>
        <v>0</v>
      </c>
      <c r="C146" s="73">
        <f t="shared" ref="C146:G146" si="23">SUM(C147:C149)</f>
        <v>0</v>
      </c>
      <c r="D146" s="73">
        <f t="shared" si="23"/>
        <v>0</v>
      </c>
      <c r="E146" s="73">
        <f t="shared" si="23"/>
        <v>0</v>
      </c>
      <c r="F146" s="73">
        <f t="shared" si="23"/>
        <v>0</v>
      </c>
      <c r="G146" s="73">
        <f t="shared" si="23"/>
        <v>0</v>
      </c>
    </row>
    <row r="147" spans="1:7" x14ac:dyDescent="0.25">
      <c r="A147" s="74" t="s">
        <v>368</v>
      </c>
      <c r="B147" s="73">
        <v>0</v>
      </c>
      <c r="C147" s="73">
        <v>0</v>
      </c>
      <c r="D147" s="73">
        <v>0</v>
      </c>
      <c r="E147" s="73">
        <v>0</v>
      </c>
      <c r="F147" s="73">
        <v>0</v>
      </c>
      <c r="G147" s="73">
        <f>D147-E147</f>
        <v>0</v>
      </c>
    </row>
    <row r="148" spans="1:7" x14ac:dyDescent="0.25">
      <c r="A148" s="74" t="s">
        <v>369</v>
      </c>
      <c r="B148" s="73">
        <v>0</v>
      </c>
      <c r="C148" s="73">
        <v>0</v>
      </c>
      <c r="D148" s="73">
        <v>0</v>
      </c>
      <c r="E148" s="73">
        <v>0</v>
      </c>
      <c r="F148" s="73">
        <v>0</v>
      </c>
      <c r="G148" s="73">
        <f t="shared" ref="G148:G149" si="24">D148-E148</f>
        <v>0</v>
      </c>
    </row>
    <row r="149" spans="1:7" x14ac:dyDescent="0.25">
      <c r="A149" s="74" t="s">
        <v>370</v>
      </c>
      <c r="B149" s="73">
        <v>0</v>
      </c>
      <c r="C149" s="73">
        <v>0</v>
      </c>
      <c r="D149" s="73">
        <v>0</v>
      </c>
      <c r="E149" s="73">
        <v>0</v>
      </c>
      <c r="F149" s="73">
        <v>0</v>
      </c>
      <c r="G149" s="73">
        <f t="shared" si="24"/>
        <v>0</v>
      </c>
    </row>
    <row r="150" spans="1:7" x14ac:dyDescent="0.25">
      <c r="A150" s="72" t="s">
        <v>371</v>
      </c>
      <c r="B150" s="73">
        <f>SUM(B151:B157)</f>
        <v>0</v>
      </c>
      <c r="C150" s="73">
        <f t="shared" ref="C150:G150" si="25">SUM(C151:C157)</f>
        <v>0</v>
      </c>
      <c r="D150" s="73">
        <f t="shared" si="25"/>
        <v>0</v>
      </c>
      <c r="E150" s="73">
        <f t="shared" si="25"/>
        <v>0</v>
      </c>
      <c r="F150" s="73">
        <f t="shared" si="25"/>
        <v>0</v>
      </c>
      <c r="G150" s="73">
        <f t="shared" si="25"/>
        <v>0</v>
      </c>
    </row>
    <row r="151" spans="1:7" x14ac:dyDescent="0.25">
      <c r="A151" s="74" t="s">
        <v>372</v>
      </c>
      <c r="B151" s="73">
        <v>0</v>
      </c>
      <c r="C151" s="73">
        <v>0</v>
      </c>
      <c r="D151" s="73">
        <v>0</v>
      </c>
      <c r="E151" s="73">
        <v>0</v>
      </c>
      <c r="F151" s="73">
        <v>0</v>
      </c>
      <c r="G151" s="73">
        <f>D151-E151</f>
        <v>0</v>
      </c>
    </row>
    <row r="152" spans="1:7" x14ac:dyDescent="0.25">
      <c r="A152" s="74" t="s">
        <v>373</v>
      </c>
      <c r="B152" s="73">
        <v>0</v>
      </c>
      <c r="C152" s="73">
        <v>0</v>
      </c>
      <c r="D152" s="73">
        <v>0</v>
      </c>
      <c r="E152" s="73">
        <v>0</v>
      </c>
      <c r="F152" s="73">
        <v>0</v>
      </c>
      <c r="G152" s="73">
        <f t="shared" ref="G152:G157" si="26">D152-E152</f>
        <v>0</v>
      </c>
    </row>
    <row r="153" spans="1:7" x14ac:dyDescent="0.25">
      <c r="A153" s="74" t="s">
        <v>374</v>
      </c>
      <c r="B153" s="73">
        <v>0</v>
      </c>
      <c r="C153" s="73">
        <v>0</v>
      </c>
      <c r="D153" s="73">
        <v>0</v>
      </c>
      <c r="E153" s="73">
        <v>0</v>
      </c>
      <c r="F153" s="73">
        <v>0</v>
      </c>
      <c r="G153" s="73">
        <f t="shared" si="26"/>
        <v>0</v>
      </c>
    </row>
    <row r="154" spans="1:7" x14ac:dyDescent="0.25">
      <c r="A154" s="78" t="s">
        <v>375</v>
      </c>
      <c r="B154" s="73">
        <v>0</v>
      </c>
      <c r="C154" s="73">
        <v>0</v>
      </c>
      <c r="D154" s="73">
        <v>0</v>
      </c>
      <c r="E154" s="73">
        <v>0</v>
      </c>
      <c r="F154" s="73">
        <v>0</v>
      </c>
      <c r="G154" s="73">
        <f t="shared" si="26"/>
        <v>0</v>
      </c>
    </row>
    <row r="155" spans="1:7" x14ac:dyDescent="0.25">
      <c r="A155" s="74" t="s">
        <v>376</v>
      </c>
      <c r="B155" s="73">
        <v>0</v>
      </c>
      <c r="C155" s="73">
        <v>0</v>
      </c>
      <c r="D155" s="73">
        <v>0</v>
      </c>
      <c r="E155" s="73">
        <v>0</v>
      </c>
      <c r="F155" s="73">
        <v>0</v>
      </c>
      <c r="G155" s="73">
        <f t="shared" si="26"/>
        <v>0</v>
      </c>
    </row>
    <row r="156" spans="1:7" x14ac:dyDescent="0.25">
      <c r="A156" s="74" t="s">
        <v>377</v>
      </c>
      <c r="B156" s="73">
        <v>0</v>
      </c>
      <c r="C156" s="73">
        <v>0</v>
      </c>
      <c r="D156" s="73">
        <v>0</v>
      </c>
      <c r="E156" s="73">
        <v>0</v>
      </c>
      <c r="F156" s="73">
        <v>0</v>
      </c>
      <c r="G156" s="73">
        <f t="shared" si="26"/>
        <v>0</v>
      </c>
    </row>
    <row r="157" spans="1:7" x14ac:dyDescent="0.25">
      <c r="A157" s="74" t="s">
        <v>378</v>
      </c>
      <c r="B157" s="73">
        <v>0</v>
      </c>
      <c r="C157" s="73">
        <v>0</v>
      </c>
      <c r="D157" s="73">
        <v>0</v>
      </c>
      <c r="E157" s="73">
        <v>0</v>
      </c>
      <c r="F157" s="73">
        <v>0</v>
      </c>
      <c r="G157" s="73">
        <f t="shared" si="26"/>
        <v>0</v>
      </c>
    </row>
    <row r="158" spans="1:7" x14ac:dyDescent="0.25">
      <c r="A158" s="79"/>
      <c r="B158" s="76"/>
      <c r="C158" s="76"/>
      <c r="D158" s="76"/>
      <c r="E158" s="76"/>
      <c r="F158" s="76"/>
      <c r="G158" s="76"/>
    </row>
    <row r="159" spans="1:7" x14ac:dyDescent="0.25">
      <c r="A159" s="80" t="s">
        <v>380</v>
      </c>
      <c r="B159" s="71">
        <f>B9+B84</f>
        <v>217429765.59</v>
      </c>
      <c r="C159" s="71">
        <f t="shared" ref="C159:G159" si="27">C9+C84</f>
        <v>85738396.439999998</v>
      </c>
      <c r="D159" s="71">
        <f t="shared" si="27"/>
        <v>303168162.02999997</v>
      </c>
      <c r="E159" s="71">
        <f t="shared" si="27"/>
        <v>246020907.76999998</v>
      </c>
      <c r="F159" s="71">
        <f t="shared" si="27"/>
        <v>229720265.66</v>
      </c>
      <c r="G159" s="71">
        <f t="shared" si="27"/>
        <v>57147254.25999999</v>
      </c>
    </row>
    <row r="160" spans="1:7" x14ac:dyDescent="0.25">
      <c r="A160" s="21"/>
      <c r="B160" s="20"/>
      <c r="C160" s="20"/>
      <c r="D160" s="20"/>
      <c r="E160" s="20"/>
      <c r="F160" s="20"/>
      <c r="G160" s="20"/>
    </row>
    <row r="161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B9AC0A03-A0EB-45CB-AB41-988C6046F028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2601-BF8E-4BE6-9D9F-BDD0E56CD5C1}">
  <dimension ref="A1:G32"/>
  <sheetViews>
    <sheetView workbookViewId="0">
      <selection activeCell="A9" sqref="A9:G27"/>
    </sheetView>
  </sheetViews>
  <sheetFormatPr baseColWidth="10" defaultColWidth="0" defaultRowHeight="15" customHeight="1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46.5" customHeight="1" x14ac:dyDescent="0.25">
      <c r="A1" s="120" t="s">
        <v>381</v>
      </c>
      <c r="B1" s="120"/>
      <c r="C1" s="120"/>
      <c r="D1" s="120"/>
      <c r="E1" s="120"/>
      <c r="F1" s="120"/>
      <c r="G1" s="120"/>
    </row>
    <row r="2" spans="1:7" x14ac:dyDescent="0.25">
      <c r="A2" s="99" t="s">
        <v>450</v>
      </c>
      <c r="B2" s="100"/>
      <c r="C2" s="100"/>
      <c r="D2" s="100"/>
      <c r="E2" s="100"/>
      <c r="F2" s="100"/>
      <c r="G2" s="101"/>
    </row>
    <row r="3" spans="1:7" x14ac:dyDescent="0.25">
      <c r="A3" s="102" t="s">
        <v>297</v>
      </c>
      <c r="B3" s="103"/>
      <c r="C3" s="103"/>
      <c r="D3" s="103"/>
      <c r="E3" s="103"/>
      <c r="F3" s="103"/>
      <c r="G3" s="104"/>
    </row>
    <row r="4" spans="1:7" x14ac:dyDescent="0.25">
      <c r="A4" s="102" t="s">
        <v>382</v>
      </c>
      <c r="B4" s="103"/>
      <c r="C4" s="103"/>
      <c r="D4" s="103"/>
      <c r="E4" s="103"/>
      <c r="F4" s="103"/>
      <c r="G4" s="104"/>
    </row>
    <row r="5" spans="1:7" x14ac:dyDescent="0.25">
      <c r="A5" s="102" t="s">
        <v>451</v>
      </c>
      <c r="B5" s="103"/>
      <c r="C5" s="103"/>
      <c r="D5" s="103"/>
      <c r="E5" s="103"/>
      <c r="F5" s="103"/>
      <c r="G5" s="104"/>
    </row>
    <row r="6" spans="1:7" x14ac:dyDescent="0.25">
      <c r="A6" s="105" t="s">
        <v>2</v>
      </c>
      <c r="B6" s="106"/>
      <c r="C6" s="106"/>
      <c r="D6" s="106"/>
      <c r="E6" s="106"/>
      <c r="F6" s="106"/>
      <c r="G6" s="107"/>
    </row>
    <row r="7" spans="1:7" x14ac:dyDescent="0.25">
      <c r="A7" s="111" t="s">
        <v>4</v>
      </c>
      <c r="B7" s="113" t="s">
        <v>299</v>
      </c>
      <c r="C7" s="113"/>
      <c r="D7" s="113"/>
      <c r="E7" s="113"/>
      <c r="F7" s="113"/>
      <c r="G7" s="116" t="s">
        <v>300</v>
      </c>
    </row>
    <row r="8" spans="1:7" ht="30" x14ac:dyDescent="0.25">
      <c r="A8" s="112"/>
      <c r="B8" s="62" t="s">
        <v>301</v>
      </c>
      <c r="C8" s="25" t="s">
        <v>231</v>
      </c>
      <c r="D8" s="62" t="s">
        <v>232</v>
      </c>
      <c r="E8" s="62" t="s">
        <v>187</v>
      </c>
      <c r="F8" s="62" t="s">
        <v>204</v>
      </c>
      <c r="G8" s="115"/>
    </row>
    <row r="9" spans="1:7" x14ac:dyDescent="0.25">
      <c r="A9" s="63" t="s">
        <v>383</v>
      </c>
      <c r="B9" s="81">
        <f>SUM(B10:GASTO_NE_FIN_01)</f>
        <v>217429765.59</v>
      </c>
      <c r="C9" s="81">
        <f>SUM(C10:GASTO_NE_FIN_02)</f>
        <v>75823307.920000002</v>
      </c>
      <c r="D9" s="81">
        <f>SUM(D10:GASTO_NE_FIN_03)</f>
        <v>293253073.50999999</v>
      </c>
      <c r="E9" s="81">
        <f>SUM(E10:GASTO_NE_FIN_04)</f>
        <v>236105819.25000003</v>
      </c>
      <c r="F9" s="81">
        <f>SUM(F10:GASTO_NE_FIN_05)</f>
        <v>219805177.13999999</v>
      </c>
      <c r="G9" s="81">
        <f>SUM(G10:GASTO_NE_FIN_06)</f>
        <v>57147254.25999999</v>
      </c>
    </row>
    <row r="10" spans="1:7" s="32" customFormat="1" x14ac:dyDescent="0.25">
      <c r="A10" s="82" t="s">
        <v>384</v>
      </c>
      <c r="B10" s="10">
        <v>7599370.4400000004</v>
      </c>
      <c r="C10" s="10">
        <v>-525581.78</v>
      </c>
      <c r="D10" s="10">
        <v>7073788.6600000001</v>
      </c>
      <c r="E10" s="10">
        <v>5565196.4800000004</v>
      </c>
      <c r="F10" s="10">
        <v>5517701.2800000003</v>
      </c>
      <c r="G10" s="10">
        <v>1508592.1799999997</v>
      </c>
    </row>
    <row r="11" spans="1:7" s="32" customFormat="1" x14ac:dyDescent="0.25">
      <c r="A11" s="82" t="s">
        <v>385</v>
      </c>
      <c r="B11" s="10">
        <v>12706474.84</v>
      </c>
      <c r="C11" s="10">
        <v>-644868.69999999995</v>
      </c>
      <c r="D11" s="10">
        <v>12061606.140000001</v>
      </c>
      <c r="E11" s="10">
        <v>10459951.9</v>
      </c>
      <c r="F11" s="10">
        <v>10350887.359999999</v>
      </c>
      <c r="G11" s="10">
        <v>1601654.2400000002</v>
      </c>
    </row>
    <row r="12" spans="1:7" s="32" customFormat="1" x14ac:dyDescent="0.25">
      <c r="A12" s="82" t="s">
        <v>386</v>
      </c>
      <c r="B12" s="10">
        <v>33232916.379999999</v>
      </c>
      <c r="C12" s="10">
        <v>16575761.340000002</v>
      </c>
      <c r="D12" s="10">
        <v>49808677.719999999</v>
      </c>
      <c r="E12" s="10">
        <v>31490609.16</v>
      </c>
      <c r="F12" s="10">
        <v>30980106.57</v>
      </c>
      <c r="G12" s="10">
        <v>18318068.559999999</v>
      </c>
    </row>
    <row r="13" spans="1:7" s="32" customFormat="1" x14ac:dyDescent="0.25">
      <c r="A13" s="82" t="s">
        <v>387</v>
      </c>
      <c r="B13" s="10">
        <v>4175326.14</v>
      </c>
      <c r="C13" s="10">
        <v>-284406.56</v>
      </c>
      <c r="D13" s="10">
        <v>3890919.58</v>
      </c>
      <c r="E13" s="10">
        <v>3191822.56</v>
      </c>
      <c r="F13" s="10">
        <v>2963982.13</v>
      </c>
      <c r="G13" s="10">
        <v>699097.02</v>
      </c>
    </row>
    <row r="14" spans="1:7" s="32" customFormat="1" x14ac:dyDescent="0.25">
      <c r="A14" s="82" t="s">
        <v>388</v>
      </c>
      <c r="B14" s="10">
        <v>20269597.5</v>
      </c>
      <c r="C14" s="10">
        <v>503996.33999999997</v>
      </c>
      <c r="D14" s="10">
        <v>20773593.84</v>
      </c>
      <c r="E14" s="10">
        <v>19086761.140000001</v>
      </c>
      <c r="F14" s="10">
        <v>18571945.079999998</v>
      </c>
      <c r="G14" s="10">
        <v>1686832.6999999993</v>
      </c>
    </row>
    <row r="15" spans="1:7" s="32" customFormat="1" x14ac:dyDescent="0.25">
      <c r="A15" s="82" t="s">
        <v>389</v>
      </c>
      <c r="B15" s="10">
        <v>25578044.440000001</v>
      </c>
      <c r="C15" s="10">
        <f>56987900.79-C25</f>
        <v>47072812.269999996</v>
      </c>
      <c r="D15" s="10">
        <f>82565945.23-D25</f>
        <v>72650856.710000008</v>
      </c>
      <c r="E15" s="10">
        <f>62903502.83-E25</f>
        <v>52988414.310000002</v>
      </c>
      <c r="F15" s="10">
        <f>54422372.26-F25</f>
        <v>44507283.739999995</v>
      </c>
      <c r="G15" s="10">
        <v>19662442.400000006</v>
      </c>
    </row>
    <row r="16" spans="1:7" s="32" customFormat="1" x14ac:dyDescent="0.25">
      <c r="A16" s="82" t="s">
        <v>390</v>
      </c>
      <c r="B16" s="10">
        <v>108797284.17</v>
      </c>
      <c r="C16" s="10">
        <v>12981900.290000003</v>
      </c>
      <c r="D16" s="10">
        <v>121779184.45999999</v>
      </c>
      <c r="E16" s="10">
        <v>108678662.34</v>
      </c>
      <c r="F16" s="10">
        <v>102471891.34</v>
      </c>
      <c r="G16" s="10">
        <v>13100522.11999999</v>
      </c>
    </row>
    <row r="17" spans="1:7" s="32" customFormat="1" x14ac:dyDescent="0.25">
      <c r="A17" s="82" t="s">
        <v>391</v>
      </c>
      <c r="B17" s="10">
        <v>5070751.68</v>
      </c>
      <c r="C17" s="10">
        <v>143694.71999999997</v>
      </c>
      <c r="D17" s="10">
        <v>5214446.4000000004</v>
      </c>
      <c r="E17" s="10">
        <v>4644401.3600000003</v>
      </c>
      <c r="F17" s="10">
        <v>4441379.6399999997</v>
      </c>
      <c r="G17" s="10">
        <v>570045.04</v>
      </c>
    </row>
    <row r="18" spans="1:7" x14ac:dyDescent="0.25">
      <c r="A18" s="33" t="s">
        <v>147</v>
      </c>
      <c r="B18" s="7"/>
      <c r="C18" s="7"/>
      <c r="D18" s="7"/>
      <c r="E18" s="7"/>
      <c r="F18" s="7"/>
      <c r="G18" s="7"/>
    </row>
    <row r="19" spans="1:7" s="32" customFormat="1" x14ac:dyDescent="0.25">
      <c r="A19" s="14" t="s">
        <v>392</v>
      </c>
      <c r="B19" s="15">
        <f>SUM(B20:GASTO_E_FIN_01)</f>
        <v>0</v>
      </c>
      <c r="C19" s="15">
        <f>SUM(C20:GASTO_E_FIN_02)</f>
        <v>9931634.3699999992</v>
      </c>
      <c r="D19" s="15">
        <f>SUM(D20:GASTO_E_FIN_03)</f>
        <v>9931634.3699999992</v>
      </c>
      <c r="E19" s="15">
        <f>SUM(E20:GASTO_E_FIN_04)</f>
        <v>9931634.3699999992</v>
      </c>
      <c r="F19" s="15">
        <f>SUM(F20:GASTO_E_FIN_05)</f>
        <v>9931634.3699999992</v>
      </c>
      <c r="G19" s="15">
        <f>SUM(G20:GASTO_E_FIN_06)</f>
        <v>0</v>
      </c>
    </row>
    <row r="20" spans="1:7" s="32" customFormat="1" x14ac:dyDescent="0.25">
      <c r="A20" s="82" t="s">
        <v>384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>D20-E20</f>
        <v>0</v>
      </c>
    </row>
    <row r="21" spans="1:7" s="32" customFormat="1" x14ac:dyDescent="0.25">
      <c r="A21" s="82" t="s">
        <v>385</v>
      </c>
      <c r="B21" s="10">
        <v>0</v>
      </c>
      <c r="C21" s="10">
        <v>16545.849999999999</v>
      </c>
      <c r="D21" s="10">
        <v>16545.849999999999</v>
      </c>
      <c r="E21" s="10">
        <v>16545.849999999999</v>
      </c>
      <c r="F21" s="10">
        <v>16545.849999999999</v>
      </c>
      <c r="G21" s="10">
        <f t="shared" ref="G21:G27" si="0">D21-E21</f>
        <v>0</v>
      </c>
    </row>
    <row r="22" spans="1:7" s="32" customFormat="1" x14ac:dyDescent="0.25">
      <c r="A22" s="82" t="s">
        <v>386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0"/>
        <v>0</v>
      </c>
    </row>
    <row r="23" spans="1:7" s="32" customFormat="1" x14ac:dyDescent="0.25">
      <c r="A23" s="82" t="s">
        <v>387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0"/>
        <v>0</v>
      </c>
    </row>
    <row r="24" spans="1:7" s="32" customFormat="1" x14ac:dyDescent="0.25">
      <c r="A24" s="82" t="s">
        <v>388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0"/>
        <v>0</v>
      </c>
    </row>
    <row r="25" spans="1:7" s="32" customFormat="1" x14ac:dyDescent="0.25">
      <c r="A25" s="82" t="s">
        <v>389</v>
      </c>
      <c r="B25" s="10">
        <v>0</v>
      </c>
      <c r="C25" s="10">
        <v>9915088.5199999996</v>
      </c>
      <c r="D25" s="10">
        <v>9915088.5199999996</v>
      </c>
      <c r="E25" s="10">
        <v>9915088.5199999996</v>
      </c>
      <c r="F25" s="10">
        <v>9915088.5199999996</v>
      </c>
      <c r="G25" s="10">
        <f t="shared" si="0"/>
        <v>0</v>
      </c>
    </row>
    <row r="26" spans="1:7" s="32" customFormat="1" x14ac:dyDescent="0.25">
      <c r="A26" s="82" t="s">
        <v>390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0"/>
        <v>0</v>
      </c>
    </row>
    <row r="27" spans="1:7" s="32" customFormat="1" x14ac:dyDescent="0.25">
      <c r="A27" s="82" t="s">
        <v>391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0"/>
        <v>0</v>
      </c>
    </row>
    <row r="28" spans="1:7" x14ac:dyDescent="0.25">
      <c r="A28" s="33" t="s">
        <v>147</v>
      </c>
      <c r="B28" s="7"/>
      <c r="C28" s="7"/>
      <c r="D28" s="7"/>
      <c r="E28" s="7"/>
      <c r="F28" s="7"/>
      <c r="G28" s="7"/>
    </row>
    <row r="29" spans="1:7" x14ac:dyDescent="0.25">
      <c r="A29" s="14" t="s">
        <v>380</v>
      </c>
      <c r="B29" s="15">
        <f>GASTO_NE_T1+GASTO_E_T1</f>
        <v>217429765.59</v>
      </c>
      <c r="C29" s="15">
        <f>GASTO_NE_T2+GASTO_E_T2</f>
        <v>85754942.290000007</v>
      </c>
      <c r="D29" s="15">
        <f>GASTO_NE_T3+GASTO_E_T3</f>
        <v>303184707.88</v>
      </c>
      <c r="E29" s="15">
        <f>GASTO_NE_T4+GASTO_E_T4</f>
        <v>246037453.62000003</v>
      </c>
      <c r="F29" s="15">
        <f>GASTO_NE_T5+GASTO_E_T5</f>
        <v>229736811.50999999</v>
      </c>
      <c r="G29" s="15">
        <f>GASTO_NE_T6+GASTO_E_T6</f>
        <v>57147254.25999999</v>
      </c>
    </row>
    <row r="30" spans="1:7" x14ac:dyDescent="0.25">
      <c r="A30" s="21"/>
      <c r="B30" s="21"/>
      <c r="C30" s="21"/>
      <c r="D30" s="21"/>
      <c r="E30" s="21"/>
      <c r="F30" s="21"/>
      <c r="G30" s="21"/>
    </row>
    <row r="31" spans="1:7" hidden="1" x14ac:dyDescent="0.25"/>
    <row r="32" spans="1:7" ht="15" customHeight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1DE670DD-7DD2-401B-AF2B-2D3803CF34AF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6042-6C79-40EE-BA5D-085432175D2A}">
  <dimension ref="A1:XFC78"/>
  <sheetViews>
    <sheetView workbookViewId="0">
      <selection activeCell="C55" sqref="C55"/>
    </sheetView>
  </sheetViews>
  <sheetFormatPr baseColWidth="10" defaultColWidth="0" defaultRowHeight="40.5" custom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21" x14ac:dyDescent="0.25">
      <c r="A1" s="121" t="s">
        <v>449</v>
      </c>
      <c r="B1" s="122"/>
      <c r="C1" s="122"/>
      <c r="D1" s="122"/>
      <c r="E1" s="122"/>
      <c r="F1" s="122"/>
      <c r="G1" s="122"/>
    </row>
    <row r="2" spans="1:7" ht="15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0"/>
      <c r="E2" s="100"/>
      <c r="F2" s="100"/>
      <c r="G2" s="101"/>
    </row>
    <row r="3" spans="1:7" ht="15" x14ac:dyDescent="0.25">
      <c r="A3" s="102" t="s">
        <v>393</v>
      </c>
      <c r="B3" s="103"/>
      <c r="C3" s="103"/>
      <c r="D3" s="103"/>
      <c r="E3" s="103"/>
      <c r="F3" s="103"/>
      <c r="G3" s="104"/>
    </row>
    <row r="4" spans="1:7" ht="15" x14ac:dyDescent="0.25">
      <c r="A4" s="102" t="s">
        <v>394</v>
      </c>
      <c r="B4" s="103"/>
      <c r="C4" s="103"/>
      <c r="D4" s="103"/>
      <c r="E4" s="103"/>
      <c r="F4" s="103"/>
      <c r="G4" s="104"/>
    </row>
    <row r="5" spans="1:7" ht="15" x14ac:dyDescent="0.25">
      <c r="A5" s="102" t="str">
        <f>TRIMESTRE</f>
        <v>Del 1 de enero al 31 de diciembre de 2021 (b)</v>
      </c>
      <c r="B5" s="103"/>
      <c r="C5" s="103"/>
      <c r="D5" s="103"/>
      <c r="E5" s="103"/>
      <c r="F5" s="103"/>
      <c r="G5" s="104"/>
    </row>
    <row r="6" spans="1:7" ht="15" x14ac:dyDescent="0.25">
      <c r="A6" s="105" t="s">
        <v>2</v>
      </c>
      <c r="B6" s="106"/>
      <c r="C6" s="106"/>
      <c r="D6" s="106"/>
      <c r="E6" s="106"/>
      <c r="F6" s="106"/>
      <c r="G6" s="107"/>
    </row>
    <row r="7" spans="1:7" ht="15" x14ac:dyDescent="0.25">
      <c r="A7" s="103" t="s">
        <v>4</v>
      </c>
      <c r="B7" s="105" t="s">
        <v>299</v>
      </c>
      <c r="C7" s="106"/>
      <c r="D7" s="106"/>
      <c r="E7" s="106"/>
      <c r="F7" s="107"/>
      <c r="G7" s="116" t="s">
        <v>395</v>
      </c>
    </row>
    <row r="8" spans="1:7" ht="30" x14ac:dyDescent="0.25">
      <c r="A8" s="103"/>
      <c r="B8" s="62" t="s">
        <v>301</v>
      </c>
      <c r="C8" s="25" t="s">
        <v>396</v>
      </c>
      <c r="D8" s="62" t="s">
        <v>303</v>
      </c>
      <c r="E8" s="62" t="s">
        <v>187</v>
      </c>
      <c r="F8" s="83" t="s">
        <v>204</v>
      </c>
      <c r="G8" s="115"/>
    </row>
    <row r="9" spans="1:7" ht="15" x14ac:dyDescent="0.25">
      <c r="A9" s="63" t="s">
        <v>397</v>
      </c>
      <c r="B9" s="84">
        <f>SUM(B10,B19,B27,B37)</f>
        <v>217429765.59</v>
      </c>
      <c r="C9" s="84">
        <f t="shared" ref="C9:G9" si="0">SUM(C10,C19,C27,C37)</f>
        <v>75806762.069999993</v>
      </c>
      <c r="D9" s="84">
        <f t="shared" si="0"/>
        <v>293236527.65999997</v>
      </c>
      <c r="E9" s="84">
        <f t="shared" si="0"/>
        <v>236089273.40000001</v>
      </c>
      <c r="F9" s="84">
        <f t="shared" si="0"/>
        <v>220527460.18000001</v>
      </c>
      <c r="G9" s="84">
        <f t="shared" si="0"/>
        <v>57147254.259999961</v>
      </c>
    </row>
    <row r="10" spans="1:7" ht="15" x14ac:dyDescent="0.25">
      <c r="A10" s="46" t="s">
        <v>398</v>
      </c>
      <c r="B10" s="85">
        <f>SUM(B11:B18)</f>
        <v>0</v>
      </c>
      <c r="C10" s="85">
        <f t="shared" ref="C10:F10" si="1">SUM(C11:C18)</f>
        <v>0</v>
      </c>
      <c r="D10" s="85">
        <f t="shared" si="1"/>
        <v>0</v>
      </c>
      <c r="E10" s="85">
        <f t="shared" si="1"/>
        <v>0</v>
      </c>
      <c r="F10" s="85">
        <f t="shared" si="1"/>
        <v>0</v>
      </c>
      <c r="G10" s="85">
        <f>SUM(G11:G18)</f>
        <v>0</v>
      </c>
    </row>
    <row r="11" spans="1:7" ht="15" x14ac:dyDescent="0.25">
      <c r="A11" s="66" t="s">
        <v>399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f>D11-E11</f>
        <v>0</v>
      </c>
    </row>
    <row r="12" spans="1:7" ht="15" x14ac:dyDescent="0.25">
      <c r="A12" s="66" t="s">
        <v>400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f t="shared" ref="G12:G18" si="2">D12-E12</f>
        <v>0</v>
      </c>
    </row>
    <row r="13" spans="1:7" ht="15" x14ac:dyDescent="0.25">
      <c r="A13" s="66" t="s">
        <v>401</v>
      </c>
      <c r="B13" s="85">
        <v>0</v>
      </c>
      <c r="C13" s="85">
        <v>0</v>
      </c>
      <c r="D13" s="85">
        <v>0</v>
      </c>
      <c r="E13" s="85">
        <v>0</v>
      </c>
      <c r="F13" s="85">
        <v>0</v>
      </c>
      <c r="G13" s="85">
        <f t="shared" si="2"/>
        <v>0</v>
      </c>
    </row>
    <row r="14" spans="1:7" ht="15" x14ac:dyDescent="0.25">
      <c r="A14" s="66" t="s">
        <v>402</v>
      </c>
      <c r="B14" s="85">
        <v>0</v>
      </c>
      <c r="C14" s="85">
        <v>0</v>
      </c>
      <c r="D14" s="85">
        <v>0</v>
      </c>
      <c r="E14" s="85">
        <v>0</v>
      </c>
      <c r="F14" s="85">
        <v>0</v>
      </c>
      <c r="G14" s="85">
        <f t="shared" si="2"/>
        <v>0</v>
      </c>
    </row>
    <row r="15" spans="1:7" ht="15" x14ac:dyDescent="0.25">
      <c r="A15" s="66" t="s">
        <v>403</v>
      </c>
      <c r="B15" s="85">
        <v>0</v>
      </c>
      <c r="C15" s="85">
        <v>0</v>
      </c>
      <c r="D15" s="85">
        <v>0</v>
      </c>
      <c r="E15" s="85">
        <v>0</v>
      </c>
      <c r="F15" s="85">
        <v>0</v>
      </c>
      <c r="G15" s="85">
        <f t="shared" si="2"/>
        <v>0</v>
      </c>
    </row>
    <row r="16" spans="1:7" ht="15" x14ac:dyDescent="0.25">
      <c r="A16" s="66" t="s">
        <v>404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G16" s="85">
        <f t="shared" si="2"/>
        <v>0</v>
      </c>
    </row>
    <row r="17" spans="1:7" ht="15" x14ac:dyDescent="0.25">
      <c r="A17" s="66" t="s">
        <v>405</v>
      </c>
      <c r="B17" s="85">
        <v>0</v>
      </c>
      <c r="C17" s="85">
        <v>0</v>
      </c>
      <c r="D17" s="85">
        <v>0</v>
      </c>
      <c r="E17" s="85">
        <v>0</v>
      </c>
      <c r="F17" s="85">
        <v>0</v>
      </c>
      <c r="G17" s="85">
        <f t="shared" si="2"/>
        <v>0</v>
      </c>
    </row>
    <row r="18" spans="1:7" ht="15" x14ac:dyDescent="0.25">
      <c r="A18" s="66" t="s">
        <v>406</v>
      </c>
      <c r="B18" s="85">
        <v>0</v>
      </c>
      <c r="C18" s="85">
        <v>0</v>
      </c>
      <c r="D18" s="85">
        <v>0</v>
      </c>
      <c r="E18" s="85">
        <v>0</v>
      </c>
      <c r="F18" s="85">
        <v>0</v>
      </c>
      <c r="G18" s="85">
        <f t="shared" si="2"/>
        <v>0</v>
      </c>
    </row>
    <row r="19" spans="1:7" ht="15" x14ac:dyDescent="0.25">
      <c r="A19" s="46" t="s">
        <v>407</v>
      </c>
      <c r="B19" s="85">
        <f>SUM(B20:B26)</f>
        <v>217429765.59</v>
      </c>
      <c r="C19" s="85">
        <f t="shared" ref="C19:F19" si="3">SUM(C20:C26)</f>
        <v>75806762.069999993</v>
      </c>
      <c r="D19" s="85">
        <f t="shared" si="3"/>
        <v>293236527.65999997</v>
      </c>
      <c r="E19" s="85">
        <f t="shared" si="3"/>
        <v>236089273.40000001</v>
      </c>
      <c r="F19" s="85">
        <f t="shared" si="3"/>
        <v>220527460.18000001</v>
      </c>
      <c r="G19" s="85">
        <f>SUM(G20:G26)</f>
        <v>57147254.259999961</v>
      </c>
    </row>
    <row r="20" spans="1:7" ht="15" x14ac:dyDescent="0.25">
      <c r="A20" s="66" t="s">
        <v>408</v>
      </c>
      <c r="B20" s="85">
        <v>0</v>
      </c>
      <c r="C20" s="85">
        <v>0</v>
      </c>
      <c r="D20" s="85">
        <v>0</v>
      </c>
      <c r="E20" s="85">
        <v>0</v>
      </c>
      <c r="F20" s="85">
        <v>0</v>
      </c>
      <c r="G20" s="85">
        <f>D20-E20</f>
        <v>0</v>
      </c>
    </row>
    <row r="21" spans="1:7" ht="15" x14ac:dyDescent="0.25">
      <c r="A21" s="66" t="s">
        <v>409</v>
      </c>
      <c r="B21" s="85">
        <v>217429765.59</v>
      </c>
      <c r="C21" s="85">
        <f>85738396.44-C53</f>
        <v>75806762.069999993</v>
      </c>
      <c r="D21" s="85">
        <f>303168162.03-D53</f>
        <v>293236527.65999997</v>
      </c>
      <c r="E21" s="85">
        <f>246020907.77-E53</f>
        <v>236089273.40000001</v>
      </c>
      <c r="F21" s="85">
        <f>229720265.66-F53</f>
        <v>220527460.18000001</v>
      </c>
      <c r="G21" s="85">
        <f t="shared" ref="G21:G26" si="4">D21-E21</f>
        <v>57147254.259999961</v>
      </c>
    </row>
    <row r="22" spans="1:7" ht="15" x14ac:dyDescent="0.25">
      <c r="A22" s="66" t="s">
        <v>410</v>
      </c>
      <c r="B22" s="85">
        <v>0</v>
      </c>
      <c r="C22" s="85">
        <v>0</v>
      </c>
      <c r="D22" s="85">
        <v>0</v>
      </c>
      <c r="E22" s="85">
        <v>0</v>
      </c>
      <c r="F22" s="85">
        <v>0</v>
      </c>
      <c r="G22" s="85">
        <f t="shared" si="4"/>
        <v>0</v>
      </c>
    </row>
    <row r="23" spans="1:7" ht="15" x14ac:dyDescent="0.25">
      <c r="A23" s="66" t="s">
        <v>411</v>
      </c>
      <c r="B23" s="85">
        <v>0</v>
      </c>
      <c r="C23" s="85">
        <v>0</v>
      </c>
      <c r="D23" s="85">
        <v>0</v>
      </c>
      <c r="E23" s="85">
        <v>0</v>
      </c>
      <c r="F23" s="85">
        <v>0</v>
      </c>
      <c r="G23" s="85">
        <f t="shared" si="4"/>
        <v>0</v>
      </c>
    </row>
    <row r="24" spans="1:7" ht="15" x14ac:dyDescent="0.25">
      <c r="A24" s="66" t="s">
        <v>412</v>
      </c>
      <c r="B24" s="85">
        <v>0</v>
      </c>
      <c r="C24" s="85">
        <v>0</v>
      </c>
      <c r="D24" s="85">
        <v>0</v>
      </c>
      <c r="E24" s="85">
        <v>0</v>
      </c>
      <c r="F24" s="85">
        <v>0</v>
      </c>
      <c r="G24" s="85">
        <f t="shared" si="4"/>
        <v>0</v>
      </c>
    </row>
    <row r="25" spans="1:7" ht="15" x14ac:dyDescent="0.25">
      <c r="A25" s="66" t="s">
        <v>413</v>
      </c>
      <c r="B25" s="85">
        <v>0</v>
      </c>
      <c r="C25" s="85">
        <v>0</v>
      </c>
      <c r="D25" s="85">
        <v>0</v>
      </c>
      <c r="E25" s="85">
        <v>0</v>
      </c>
      <c r="F25" s="85">
        <v>0</v>
      </c>
      <c r="G25" s="85">
        <f t="shared" si="4"/>
        <v>0</v>
      </c>
    </row>
    <row r="26" spans="1:7" ht="15" x14ac:dyDescent="0.25">
      <c r="A26" s="66" t="s">
        <v>414</v>
      </c>
      <c r="B26" s="85">
        <v>0</v>
      </c>
      <c r="C26" s="85">
        <v>0</v>
      </c>
      <c r="D26" s="85">
        <v>0</v>
      </c>
      <c r="E26" s="85">
        <v>0</v>
      </c>
      <c r="F26" s="85">
        <v>0</v>
      </c>
      <c r="G26" s="85">
        <f t="shared" si="4"/>
        <v>0</v>
      </c>
    </row>
    <row r="27" spans="1:7" ht="15" x14ac:dyDescent="0.25">
      <c r="A27" s="46" t="s">
        <v>415</v>
      </c>
      <c r="B27" s="85">
        <f>SUM(B28:B36)</f>
        <v>0</v>
      </c>
      <c r="C27" s="85">
        <f t="shared" ref="C27:F27" si="5">SUM(C28:C36)</f>
        <v>0</v>
      </c>
      <c r="D27" s="85">
        <f t="shared" si="5"/>
        <v>0</v>
      </c>
      <c r="E27" s="85">
        <f t="shared" si="5"/>
        <v>0</v>
      </c>
      <c r="F27" s="85">
        <f t="shared" si="5"/>
        <v>0</v>
      </c>
      <c r="G27" s="85">
        <f>SUM(G28:G36)</f>
        <v>0</v>
      </c>
    </row>
    <row r="28" spans="1:7" ht="15" x14ac:dyDescent="0.25">
      <c r="A28" s="67" t="s">
        <v>416</v>
      </c>
      <c r="B28" s="85">
        <v>0</v>
      </c>
      <c r="C28" s="85">
        <v>0</v>
      </c>
      <c r="D28" s="85">
        <v>0</v>
      </c>
      <c r="E28" s="85">
        <v>0</v>
      </c>
      <c r="F28" s="85">
        <v>0</v>
      </c>
      <c r="G28" s="85">
        <f>D28-E28</f>
        <v>0</v>
      </c>
    </row>
    <row r="29" spans="1:7" ht="15" x14ac:dyDescent="0.25">
      <c r="A29" s="66" t="s">
        <v>417</v>
      </c>
      <c r="B29" s="85">
        <v>0</v>
      </c>
      <c r="C29" s="85">
        <v>0</v>
      </c>
      <c r="D29" s="85">
        <v>0</v>
      </c>
      <c r="E29" s="85">
        <v>0</v>
      </c>
      <c r="F29" s="85">
        <v>0</v>
      </c>
      <c r="G29" s="85">
        <f t="shared" ref="G29:G36" si="6">D29-E29</f>
        <v>0</v>
      </c>
    </row>
    <row r="30" spans="1:7" ht="15" x14ac:dyDescent="0.25">
      <c r="A30" s="66" t="s">
        <v>418</v>
      </c>
      <c r="B30" s="85">
        <v>0</v>
      </c>
      <c r="C30" s="85">
        <v>0</v>
      </c>
      <c r="D30" s="85">
        <v>0</v>
      </c>
      <c r="E30" s="85">
        <v>0</v>
      </c>
      <c r="F30" s="85">
        <v>0</v>
      </c>
      <c r="G30" s="85">
        <f t="shared" si="6"/>
        <v>0</v>
      </c>
    </row>
    <row r="31" spans="1:7" ht="15" x14ac:dyDescent="0.25">
      <c r="A31" s="66" t="s">
        <v>419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f t="shared" si="6"/>
        <v>0</v>
      </c>
    </row>
    <row r="32" spans="1:7" ht="15" x14ac:dyDescent="0.25">
      <c r="A32" s="66" t="s">
        <v>420</v>
      </c>
      <c r="B32" s="85">
        <v>0</v>
      </c>
      <c r="C32" s="85">
        <v>0</v>
      </c>
      <c r="D32" s="85">
        <v>0</v>
      </c>
      <c r="E32" s="85">
        <v>0</v>
      </c>
      <c r="F32" s="85">
        <v>0</v>
      </c>
      <c r="G32" s="85">
        <f t="shared" si="6"/>
        <v>0</v>
      </c>
    </row>
    <row r="33" spans="1:7" ht="15" x14ac:dyDescent="0.25">
      <c r="A33" s="66" t="s">
        <v>421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f t="shared" si="6"/>
        <v>0</v>
      </c>
    </row>
    <row r="34" spans="1:7" ht="15" x14ac:dyDescent="0.25">
      <c r="A34" s="66" t="s">
        <v>422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f t="shared" si="6"/>
        <v>0</v>
      </c>
    </row>
    <row r="35" spans="1:7" ht="15" x14ac:dyDescent="0.25">
      <c r="A35" s="66" t="s">
        <v>423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f t="shared" si="6"/>
        <v>0</v>
      </c>
    </row>
    <row r="36" spans="1:7" ht="15" x14ac:dyDescent="0.25">
      <c r="A36" s="66" t="s">
        <v>424</v>
      </c>
      <c r="B36" s="85">
        <v>0</v>
      </c>
      <c r="C36" s="85">
        <v>0</v>
      </c>
      <c r="D36" s="85">
        <v>0</v>
      </c>
      <c r="E36" s="85">
        <v>0</v>
      </c>
      <c r="F36" s="85">
        <v>0</v>
      </c>
      <c r="G36" s="85">
        <f t="shared" si="6"/>
        <v>0</v>
      </c>
    </row>
    <row r="37" spans="1:7" ht="30" x14ac:dyDescent="0.25">
      <c r="A37" s="86" t="s">
        <v>425</v>
      </c>
      <c r="B37" s="85">
        <f>SUM(B38:B41)</f>
        <v>0</v>
      </c>
      <c r="C37" s="85">
        <f t="shared" ref="C37:F37" si="7">SUM(C38:C41)</f>
        <v>0</v>
      </c>
      <c r="D37" s="85">
        <f t="shared" si="7"/>
        <v>0</v>
      </c>
      <c r="E37" s="85">
        <f t="shared" si="7"/>
        <v>0</v>
      </c>
      <c r="F37" s="85">
        <f t="shared" si="7"/>
        <v>0</v>
      </c>
      <c r="G37" s="85">
        <f>SUM(G38:G41)</f>
        <v>0</v>
      </c>
    </row>
    <row r="38" spans="1:7" ht="15" x14ac:dyDescent="0.25">
      <c r="A38" s="67" t="s">
        <v>426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f>D38-E38</f>
        <v>0</v>
      </c>
    </row>
    <row r="39" spans="1:7" ht="30" x14ac:dyDescent="0.25">
      <c r="A39" s="67" t="s">
        <v>427</v>
      </c>
      <c r="B39" s="85">
        <v>0</v>
      </c>
      <c r="C39" s="85">
        <v>0</v>
      </c>
      <c r="D39" s="85">
        <v>0</v>
      </c>
      <c r="E39" s="85">
        <v>0</v>
      </c>
      <c r="F39" s="85">
        <v>0</v>
      </c>
      <c r="G39" s="85">
        <f t="shared" ref="G39:G41" si="8">D39-E39</f>
        <v>0</v>
      </c>
    </row>
    <row r="40" spans="1:7" ht="15" x14ac:dyDescent="0.25">
      <c r="A40" s="67" t="s">
        <v>428</v>
      </c>
      <c r="B40" s="85">
        <v>0</v>
      </c>
      <c r="C40" s="85">
        <v>0</v>
      </c>
      <c r="D40" s="85">
        <v>0</v>
      </c>
      <c r="E40" s="85">
        <v>0</v>
      </c>
      <c r="F40" s="85">
        <v>0</v>
      </c>
      <c r="G40" s="85">
        <f t="shared" si="8"/>
        <v>0</v>
      </c>
    </row>
    <row r="41" spans="1:7" ht="15" x14ac:dyDescent="0.25">
      <c r="A41" s="67" t="s">
        <v>429</v>
      </c>
      <c r="B41" s="85">
        <v>0</v>
      </c>
      <c r="C41" s="85">
        <v>0</v>
      </c>
      <c r="D41" s="85">
        <v>0</v>
      </c>
      <c r="E41" s="85">
        <v>0</v>
      </c>
      <c r="F41" s="85">
        <v>0</v>
      </c>
      <c r="G41" s="85">
        <f t="shared" si="8"/>
        <v>0</v>
      </c>
    </row>
    <row r="42" spans="1:7" ht="15" x14ac:dyDescent="0.25">
      <c r="A42" s="67"/>
      <c r="B42" s="85"/>
      <c r="C42" s="85"/>
      <c r="D42" s="85"/>
      <c r="E42" s="85"/>
      <c r="F42" s="85"/>
      <c r="G42" s="85"/>
    </row>
    <row r="43" spans="1:7" ht="15" x14ac:dyDescent="0.25">
      <c r="A43" s="14" t="s">
        <v>430</v>
      </c>
      <c r="B43" s="87">
        <f>SUM(B44,B53,B61,B71)</f>
        <v>0</v>
      </c>
      <c r="C43" s="87">
        <f t="shared" ref="C43:G43" si="9">SUM(C44,C53,C61,C71)</f>
        <v>9931634.370000001</v>
      </c>
      <c r="D43" s="87">
        <f t="shared" si="9"/>
        <v>9931634.3699999992</v>
      </c>
      <c r="E43" s="87">
        <f t="shared" si="9"/>
        <v>9931634.3699999992</v>
      </c>
      <c r="F43" s="87">
        <f t="shared" si="9"/>
        <v>9192805.4800000004</v>
      </c>
      <c r="G43" s="87">
        <f t="shared" si="9"/>
        <v>0</v>
      </c>
    </row>
    <row r="44" spans="1:7" ht="15" x14ac:dyDescent="0.25">
      <c r="A44" s="46" t="s">
        <v>431</v>
      </c>
      <c r="B44" s="85">
        <f>SUM(B45:B52)</f>
        <v>0</v>
      </c>
      <c r="C44" s="85">
        <f t="shared" ref="C44:G44" si="10">SUM(C45:C52)</f>
        <v>0</v>
      </c>
      <c r="D44" s="85">
        <f t="shared" si="10"/>
        <v>0</v>
      </c>
      <c r="E44" s="85">
        <f t="shared" si="10"/>
        <v>0</v>
      </c>
      <c r="F44" s="85">
        <f t="shared" si="10"/>
        <v>0</v>
      </c>
      <c r="G44" s="85">
        <f t="shared" si="10"/>
        <v>0</v>
      </c>
    </row>
    <row r="45" spans="1:7" ht="15" x14ac:dyDescent="0.25">
      <c r="A45" s="67" t="s">
        <v>399</v>
      </c>
      <c r="B45" s="85">
        <v>0</v>
      </c>
      <c r="C45" s="85">
        <v>0</v>
      </c>
      <c r="D45" s="85">
        <v>0</v>
      </c>
      <c r="E45" s="85">
        <v>0</v>
      </c>
      <c r="F45" s="85">
        <v>0</v>
      </c>
      <c r="G45" s="85">
        <f>D45-E45</f>
        <v>0</v>
      </c>
    </row>
    <row r="46" spans="1:7" ht="15" x14ac:dyDescent="0.25">
      <c r="A46" s="67" t="s">
        <v>400</v>
      </c>
      <c r="B46" s="85">
        <v>0</v>
      </c>
      <c r="C46" s="85">
        <v>0</v>
      </c>
      <c r="D46" s="85">
        <v>0</v>
      </c>
      <c r="E46" s="85">
        <v>0</v>
      </c>
      <c r="F46" s="85">
        <v>0</v>
      </c>
      <c r="G46" s="85">
        <f t="shared" ref="G46:G52" si="11">D46-E46</f>
        <v>0</v>
      </c>
    </row>
    <row r="47" spans="1:7" ht="15" x14ac:dyDescent="0.25">
      <c r="A47" s="67" t="s">
        <v>401</v>
      </c>
      <c r="B47" s="85">
        <v>0</v>
      </c>
      <c r="C47" s="85">
        <v>0</v>
      </c>
      <c r="D47" s="85">
        <v>0</v>
      </c>
      <c r="E47" s="85">
        <v>0</v>
      </c>
      <c r="F47" s="85">
        <v>0</v>
      </c>
      <c r="G47" s="85">
        <f t="shared" si="11"/>
        <v>0</v>
      </c>
    </row>
    <row r="48" spans="1:7" ht="15" x14ac:dyDescent="0.25">
      <c r="A48" s="67" t="s">
        <v>402</v>
      </c>
      <c r="B48" s="85">
        <v>0</v>
      </c>
      <c r="C48" s="85">
        <v>0</v>
      </c>
      <c r="D48" s="85">
        <v>0</v>
      </c>
      <c r="E48" s="85">
        <v>0</v>
      </c>
      <c r="F48" s="85">
        <v>0</v>
      </c>
      <c r="G48" s="85">
        <f t="shared" si="11"/>
        <v>0</v>
      </c>
    </row>
    <row r="49" spans="1:7" ht="15" x14ac:dyDescent="0.25">
      <c r="A49" s="67" t="s">
        <v>403</v>
      </c>
      <c r="B49" s="85">
        <v>0</v>
      </c>
      <c r="C49" s="85">
        <v>0</v>
      </c>
      <c r="D49" s="85">
        <v>0</v>
      </c>
      <c r="E49" s="85">
        <v>0</v>
      </c>
      <c r="F49" s="85">
        <v>0</v>
      </c>
      <c r="G49" s="85">
        <f t="shared" si="11"/>
        <v>0</v>
      </c>
    </row>
    <row r="50" spans="1:7" ht="15" x14ac:dyDescent="0.25">
      <c r="A50" s="67" t="s">
        <v>404</v>
      </c>
      <c r="B50" s="85">
        <v>0</v>
      </c>
      <c r="C50" s="85">
        <v>0</v>
      </c>
      <c r="D50" s="85">
        <v>0</v>
      </c>
      <c r="E50" s="85">
        <v>0</v>
      </c>
      <c r="F50" s="85">
        <v>0</v>
      </c>
      <c r="G50" s="85">
        <f t="shared" si="11"/>
        <v>0</v>
      </c>
    </row>
    <row r="51" spans="1:7" ht="15" x14ac:dyDescent="0.25">
      <c r="A51" s="67" t="s">
        <v>405</v>
      </c>
      <c r="B51" s="85">
        <v>0</v>
      </c>
      <c r="C51" s="85">
        <v>0</v>
      </c>
      <c r="D51" s="85">
        <v>0</v>
      </c>
      <c r="E51" s="85">
        <v>0</v>
      </c>
      <c r="F51" s="85">
        <v>0</v>
      </c>
      <c r="G51" s="85">
        <f t="shared" si="11"/>
        <v>0</v>
      </c>
    </row>
    <row r="52" spans="1:7" ht="15" x14ac:dyDescent="0.25">
      <c r="A52" s="67" t="s">
        <v>406</v>
      </c>
      <c r="B52" s="85">
        <v>0</v>
      </c>
      <c r="C52" s="85">
        <v>0</v>
      </c>
      <c r="D52" s="85">
        <v>0</v>
      </c>
      <c r="E52" s="85">
        <v>0</v>
      </c>
      <c r="F52" s="85">
        <v>0</v>
      </c>
      <c r="G52" s="85">
        <f t="shared" si="11"/>
        <v>0</v>
      </c>
    </row>
    <row r="53" spans="1:7" ht="15" x14ac:dyDescent="0.25">
      <c r="A53" s="46" t="s">
        <v>407</v>
      </c>
      <c r="B53" s="85">
        <f>SUM(B54:B60)</f>
        <v>0</v>
      </c>
      <c r="C53" s="85">
        <f t="shared" ref="C53:G53" si="12">SUM(C54:C60)</f>
        <v>9931634.370000001</v>
      </c>
      <c r="D53" s="85">
        <f t="shared" si="12"/>
        <v>9931634.3699999992</v>
      </c>
      <c r="E53" s="85">
        <f t="shared" si="12"/>
        <v>9931634.3699999992</v>
      </c>
      <c r="F53" s="85">
        <f t="shared" si="12"/>
        <v>9192805.4800000004</v>
      </c>
      <c r="G53" s="85">
        <f t="shared" si="12"/>
        <v>0</v>
      </c>
    </row>
    <row r="54" spans="1:7" ht="15" x14ac:dyDescent="0.25">
      <c r="A54" s="67" t="s">
        <v>408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85">
        <f>D54-E54</f>
        <v>0</v>
      </c>
    </row>
    <row r="55" spans="1:7" ht="15" x14ac:dyDescent="0.25">
      <c r="A55" s="67" t="s">
        <v>409</v>
      </c>
      <c r="B55" s="85">
        <v>0</v>
      </c>
      <c r="C55" s="85">
        <v>9931634.370000001</v>
      </c>
      <c r="D55" s="85">
        <v>9931634.3699999992</v>
      </c>
      <c r="E55" s="85">
        <v>9931634.3699999992</v>
      </c>
      <c r="F55" s="85">
        <v>9192805.4800000004</v>
      </c>
      <c r="G55" s="85">
        <f t="shared" ref="G55:G60" si="13">D55-E55</f>
        <v>0</v>
      </c>
    </row>
    <row r="56" spans="1:7" ht="15" x14ac:dyDescent="0.25">
      <c r="A56" s="67" t="s">
        <v>410</v>
      </c>
      <c r="B56" s="85">
        <v>0</v>
      </c>
      <c r="C56" s="85">
        <v>0</v>
      </c>
      <c r="D56" s="85">
        <v>0</v>
      </c>
      <c r="E56" s="85">
        <v>0</v>
      </c>
      <c r="F56" s="85">
        <v>0</v>
      </c>
      <c r="G56" s="85">
        <f t="shared" si="13"/>
        <v>0</v>
      </c>
    </row>
    <row r="57" spans="1:7" ht="15" x14ac:dyDescent="0.25">
      <c r="A57" s="68" t="s">
        <v>411</v>
      </c>
      <c r="B57" s="85">
        <v>0</v>
      </c>
      <c r="C57" s="85">
        <v>0</v>
      </c>
      <c r="D57" s="85">
        <v>0</v>
      </c>
      <c r="E57" s="85">
        <v>0</v>
      </c>
      <c r="F57" s="85">
        <v>0</v>
      </c>
      <c r="G57" s="85">
        <f t="shared" si="13"/>
        <v>0</v>
      </c>
    </row>
    <row r="58" spans="1:7" ht="15" x14ac:dyDescent="0.25">
      <c r="A58" s="67" t="s">
        <v>412</v>
      </c>
      <c r="B58" s="85">
        <v>0</v>
      </c>
      <c r="C58" s="85">
        <v>0</v>
      </c>
      <c r="D58" s="85">
        <v>0</v>
      </c>
      <c r="E58" s="85">
        <v>0</v>
      </c>
      <c r="F58" s="85">
        <v>0</v>
      </c>
      <c r="G58" s="85">
        <f t="shared" si="13"/>
        <v>0</v>
      </c>
    </row>
    <row r="59" spans="1:7" ht="15" x14ac:dyDescent="0.25">
      <c r="A59" s="67" t="s">
        <v>413</v>
      </c>
      <c r="B59" s="85">
        <v>0</v>
      </c>
      <c r="C59" s="85">
        <v>0</v>
      </c>
      <c r="D59" s="85">
        <v>0</v>
      </c>
      <c r="E59" s="85">
        <v>0</v>
      </c>
      <c r="F59" s="85">
        <v>0</v>
      </c>
      <c r="G59" s="85">
        <f t="shared" si="13"/>
        <v>0</v>
      </c>
    </row>
    <row r="60" spans="1:7" ht="15" x14ac:dyDescent="0.25">
      <c r="A60" s="67" t="s">
        <v>414</v>
      </c>
      <c r="B60" s="85">
        <v>0</v>
      </c>
      <c r="C60" s="85">
        <v>0</v>
      </c>
      <c r="D60" s="85">
        <v>0</v>
      </c>
      <c r="E60" s="85">
        <v>0</v>
      </c>
      <c r="F60" s="85">
        <v>0</v>
      </c>
      <c r="G60" s="85">
        <f t="shared" si="13"/>
        <v>0</v>
      </c>
    </row>
    <row r="61" spans="1:7" ht="15" x14ac:dyDescent="0.25">
      <c r="A61" s="46" t="s">
        <v>415</v>
      </c>
      <c r="B61" s="85">
        <f>SUM(B62:B70)</f>
        <v>0</v>
      </c>
      <c r="C61" s="85">
        <f t="shared" ref="C61:G61" si="14">SUM(C62:C70)</f>
        <v>0</v>
      </c>
      <c r="D61" s="85">
        <f t="shared" si="14"/>
        <v>0</v>
      </c>
      <c r="E61" s="85">
        <f t="shared" si="14"/>
        <v>0</v>
      </c>
      <c r="F61" s="85">
        <f t="shared" si="14"/>
        <v>0</v>
      </c>
      <c r="G61" s="85">
        <f t="shared" si="14"/>
        <v>0</v>
      </c>
    </row>
    <row r="62" spans="1:7" ht="15" x14ac:dyDescent="0.25">
      <c r="A62" s="67" t="s">
        <v>416</v>
      </c>
      <c r="B62" s="85">
        <v>0</v>
      </c>
      <c r="C62" s="85">
        <v>0</v>
      </c>
      <c r="D62" s="85">
        <v>0</v>
      </c>
      <c r="E62" s="85">
        <v>0</v>
      </c>
      <c r="F62" s="85">
        <v>0</v>
      </c>
      <c r="G62" s="85">
        <f>D62-E62</f>
        <v>0</v>
      </c>
    </row>
    <row r="63" spans="1:7" ht="15" x14ac:dyDescent="0.25">
      <c r="A63" s="67" t="s">
        <v>417</v>
      </c>
      <c r="B63" s="85">
        <v>0</v>
      </c>
      <c r="C63" s="85">
        <v>0</v>
      </c>
      <c r="D63" s="85">
        <v>0</v>
      </c>
      <c r="E63" s="85">
        <v>0</v>
      </c>
      <c r="F63" s="85">
        <v>0</v>
      </c>
      <c r="G63" s="85">
        <f t="shared" ref="G63:G70" si="15">D63-E63</f>
        <v>0</v>
      </c>
    </row>
    <row r="64" spans="1:7" ht="15" x14ac:dyDescent="0.25">
      <c r="A64" s="67" t="s">
        <v>418</v>
      </c>
      <c r="B64" s="85">
        <v>0</v>
      </c>
      <c r="C64" s="85">
        <v>0</v>
      </c>
      <c r="D64" s="85">
        <v>0</v>
      </c>
      <c r="E64" s="85">
        <v>0</v>
      </c>
      <c r="F64" s="85">
        <v>0</v>
      </c>
      <c r="G64" s="85">
        <f t="shared" si="15"/>
        <v>0</v>
      </c>
    </row>
    <row r="65" spans="1:7" ht="15" x14ac:dyDescent="0.25">
      <c r="A65" s="67" t="s">
        <v>419</v>
      </c>
      <c r="B65" s="85">
        <v>0</v>
      </c>
      <c r="C65" s="85">
        <v>0</v>
      </c>
      <c r="D65" s="85">
        <v>0</v>
      </c>
      <c r="E65" s="85">
        <v>0</v>
      </c>
      <c r="F65" s="85">
        <v>0</v>
      </c>
      <c r="G65" s="85">
        <f t="shared" si="15"/>
        <v>0</v>
      </c>
    </row>
    <row r="66" spans="1:7" ht="15" x14ac:dyDescent="0.25">
      <c r="A66" s="67" t="s">
        <v>420</v>
      </c>
      <c r="B66" s="85">
        <v>0</v>
      </c>
      <c r="C66" s="85">
        <v>0</v>
      </c>
      <c r="D66" s="85">
        <v>0</v>
      </c>
      <c r="E66" s="85">
        <v>0</v>
      </c>
      <c r="F66" s="85">
        <v>0</v>
      </c>
      <c r="G66" s="85">
        <f t="shared" si="15"/>
        <v>0</v>
      </c>
    </row>
    <row r="67" spans="1:7" ht="15" x14ac:dyDescent="0.25">
      <c r="A67" s="67" t="s">
        <v>421</v>
      </c>
      <c r="B67" s="85">
        <v>0</v>
      </c>
      <c r="C67" s="85">
        <v>0</v>
      </c>
      <c r="D67" s="85">
        <v>0</v>
      </c>
      <c r="E67" s="85">
        <v>0</v>
      </c>
      <c r="F67" s="85">
        <v>0</v>
      </c>
      <c r="G67" s="85">
        <f t="shared" si="15"/>
        <v>0</v>
      </c>
    </row>
    <row r="68" spans="1:7" ht="15" x14ac:dyDescent="0.25">
      <c r="A68" s="67" t="s">
        <v>422</v>
      </c>
      <c r="B68" s="85">
        <v>0</v>
      </c>
      <c r="C68" s="85">
        <v>0</v>
      </c>
      <c r="D68" s="85">
        <v>0</v>
      </c>
      <c r="E68" s="85">
        <v>0</v>
      </c>
      <c r="F68" s="85">
        <v>0</v>
      </c>
      <c r="G68" s="85">
        <f t="shared" si="15"/>
        <v>0</v>
      </c>
    </row>
    <row r="69" spans="1:7" ht="15" x14ac:dyDescent="0.25">
      <c r="A69" s="67" t="s">
        <v>423</v>
      </c>
      <c r="B69" s="85">
        <v>0</v>
      </c>
      <c r="C69" s="85">
        <v>0</v>
      </c>
      <c r="D69" s="85">
        <v>0</v>
      </c>
      <c r="E69" s="85">
        <v>0</v>
      </c>
      <c r="F69" s="85">
        <v>0</v>
      </c>
      <c r="G69" s="85">
        <f t="shared" si="15"/>
        <v>0</v>
      </c>
    </row>
    <row r="70" spans="1:7" ht="15" x14ac:dyDescent="0.25">
      <c r="A70" s="67" t="s">
        <v>424</v>
      </c>
      <c r="B70" s="85">
        <v>0</v>
      </c>
      <c r="C70" s="85">
        <v>0</v>
      </c>
      <c r="D70" s="85">
        <v>0</v>
      </c>
      <c r="E70" s="85">
        <v>0</v>
      </c>
      <c r="F70" s="85">
        <v>0</v>
      </c>
      <c r="G70" s="85">
        <f t="shared" si="15"/>
        <v>0</v>
      </c>
    </row>
    <row r="71" spans="1:7" ht="15" x14ac:dyDescent="0.25">
      <c r="A71" s="86" t="s">
        <v>432</v>
      </c>
      <c r="B71" s="88">
        <f>SUM(B72:B75)</f>
        <v>0</v>
      </c>
      <c r="C71" s="88">
        <f t="shared" ref="C71:F71" si="16">SUM(C72:C75)</f>
        <v>0</v>
      </c>
      <c r="D71" s="88">
        <f t="shared" si="16"/>
        <v>0</v>
      </c>
      <c r="E71" s="88">
        <f t="shared" si="16"/>
        <v>0</v>
      </c>
      <c r="F71" s="88">
        <f t="shared" si="16"/>
        <v>0</v>
      </c>
      <c r="G71" s="88">
        <f>SUM(G72:G75)</f>
        <v>0</v>
      </c>
    </row>
    <row r="72" spans="1:7" ht="15" x14ac:dyDescent="0.25">
      <c r="A72" s="67" t="s">
        <v>426</v>
      </c>
      <c r="B72" s="85">
        <v>0</v>
      </c>
      <c r="C72" s="85">
        <v>0</v>
      </c>
      <c r="D72" s="85">
        <v>0</v>
      </c>
      <c r="E72" s="85">
        <v>0</v>
      </c>
      <c r="F72" s="85">
        <v>0</v>
      </c>
      <c r="G72" s="85">
        <f>D72-E72</f>
        <v>0</v>
      </c>
    </row>
    <row r="73" spans="1:7" ht="30" x14ac:dyDescent="0.25">
      <c r="A73" s="67" t="s">
        <v>427</v>
      </c>
      <c r="B73" s="85">
        <v>0</v>
      </c>
      <c r="C73" s="85">
        <v>0</v>
      </c>
      <c r="D73" s="85">
        <v>0</v>
      </c>
      <c r="E73" s="85">
        <v>0</v>
      </c>
      <c r="F73" s="85">
        <v>0</v>
      </c>
      <c r="G73" s="85">
        <f t="shared" ref="G73:G75" si="17">D73-E73</f>
        <v>0</v>
      </c>
    </row>
    <row r="74" spans="1:7" ht="15" x14ac:dyDescent="0.25">
      <c r="A74" s="67" t="s">
        <v>428</v>
      </c>
      <c r="B74" s="85">
        <v>0</v>
      </c>
      <c r="C74" s="85">
        <v>0</v>
      </c>
      <c r="D74" s="85">
        <v>0</v>
      </c>
      <c r="E74" s="85">
        <v>0</v>
      </c>
      <c r="F74" s="85">
        <v>0</v>
      </c>
      <c r="G74" s="85">
        <f t="shared" si="17"/>
        <v>0</v>
      </c>
    </row>
    <row r="75" spans="1:7" ht="15" x14ac:dyDescent="0.25">
      <c r="A75" s="67" t="s">
        <v>429</v>
      </c>
      <c r="B75" s="85">
        <v>0</v>
      </c>
      <c r="C75" s="85">
        <v>0</v>
      </c>
      <c r="D75" s="85">
        <v>0</v>
      </c>
      <c r="E75" s="85">
        <v>0</v>
      </c>
      <c r="F75" s="85">
        <v>0</v>
      </c>
      <c r="G75" s="85">
        <f t="shared" si="17"/>
        <v>0</v>
      </c>
    </row>
    <row r="76" spans="1:7" ht="15" x14ac:dyDescent="0.25">
      <c r="A76" s="7"/>
      <c r="B76" s="89"/>
      <c r="C76" s="89"/>
      <c r="D76" s="89"/>
      <c r="E76" s="89"/>
      <c r="F76" s="89"/>
      <c r="G76" s="89"/>
    </row>
    <row r="77" spans="1:7" ht="15" x14ac:dyDescent="0.25">
      <c r="A77" s="14" t="s">
        <v>380</v>
      </c>
      <c r="B77" s="87">
        <f>B43+B9</f>
        <v>217429765.59</v>
      </c>
      <c r="C77" s="87">
        <f t="shared" ref="C77:F77" si="18">C43+C9</f>
        <v>85738396.439999998</v>
      </c>
      <c r="D77" s="87">
        <f t="shared" si="18"/>
        <v>303168162.02999997</v>
      </c>
      <c r="E77" s="87">
        <f t="shared" si="18"/>
        <v>246020907.77000001</v>
      </c>
      <c r="F77" s="87">
        <f t="shared" si="18"/>
        <v>229720265.66</v>
      </c>
      <c r="G77" s="87">
        <f>G43+G9</f>
        <v>57147254.259999961</v>
      </c>
    </row>
    <row r="78" spans="1:7" ht="15" x14ac:dyDescent="0.25">
      <c r="A78" s="21"/>
      <c r="B78" s="90"/>
      <c r="C78" s="90"/>
      <c r="D78" s="90"/>
      <c r="E78" s="90"/>
      <c r="F78" s="90"/>
      <c r="G78" s="9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2FBC848F-8D7E-4BC7-8173-3568FE7F2CEB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30C6-597B-4640-83DC-D4CBA7D356C1}">
  <dimension ref="A1:G34"/>
  <sheetViews>
    <sheetView workbookViewId="0">
      <selection activeCell="A31" sqref="A31"/>
    </sheetView>
  </sheetViews>
  <sheetFormatPr baseColWidth="10" defaultColWidth="0" defaultRowHeight="15" zeroHeight="1" x14ac:dyDescent="0.25"/>
  <cols>
    <col min="1" max="1" width="100.42578125" bestFit="1" customWidth="1"/>
    <col min="2" max="6" width="20.7109375" style="97" customWidth="1"/>
    <col min="7" max="7" width="17.5703125" style="97" customWidth="1"/>
    <col min="8" max="16384" width="10.85546875" hidden="1"/>
  </cols>
  <sheetData>
    <row r="1" spans="1:7" ht="51" customHeight="1" x14ac:dyDescent="0.25">
      <c r="A1" s="120" t="s">
        <v>433</v>
      </c>
      <c r="B1" s="114"/>
      <c r="C1" s="114"/>
      <c r="D1" s="114"/>
      <c r="E1" s="114"/>
      <c r="F1" s="114"/>
      <c r="G1" s="114"/>
    </row>
    <row r="2" spans="1:7" x14ac:dyDescent="0.25">
      <c r="A2" s="99" t="str">
        <f>ENTE_PUBLICO_A</f>
        <v>SISTEMA MUNICIPAL DE AGUA POTABLE Y ALCANTARILLADO DE GUANAJUATO, Gobierno del Estado de Guanajuato (a)</v>
      </c>
      <c r="B2" s="100"/>
      <c r="C2" s="100"/>
      <c r="D2" s="100"/>
      <c r="E2" s="100"/>
      <c r="F2" s="100"/>
      <c r="G2" s="101"/>
    </row>
    <row r="3" spans="1:7" x14ac:dyDescent="0.25">
      <c r="A3" s="102" t="s">
        <v>297</v>
      </c>
      <c r="B3" s="103"/>
      <c r="C3" s="103"/>
      <c r="D3" s="103"/>
      <c r="E3" s="103"/>
      <c r="F3" s="103"/>
      <c r="G3" s="104"/>
    </row>
    <row r="4" spans="1:7" x14ac:dyDescent="0.25">
      <c r="A4" s="102" t="s">
        <v>434</v>
      </c>
      <c r="B4" s="103"/>
      <c r="C4" s="103"/>
      <c r="D4" s="103"/>
      <c r="E4" s="103"/>
      <c r="F4" s="103"/>
      <c r="G4" s="104"/>
    </row>
    <row r="5" spans="1:7" x14ac:dyDescent="0.25">
      <c r="A5" s="102" t="str">
        <f>TRIMESTRE</f>
        <v>Del 1 de enero al 31 de diciembre de 2021 (b)</v>
      </c>
      <c r="B5" s="103"/>
      <c r="C5" s="103"/>
      <c r="D5" s="103"/>
      <c r="E5" s="103"/>
      <c r="F5" s="103"/>
      <c r="G5" s="104"/>
    </row>
    <row r="6" spans="1:7" x14ac:dyDescent="0.25">
      <c r="A6" s="105" t="s">
        <v>2</v>
      </c>
      <c r="B6" s="106"/>
      <c r="C6" s="106"/>
      <c r="D6" s="106"/>
      <c r="E6" s="106"/>
      <c r="F6" s="106"/>
      <c r="G6" s="107"/>
    </row>
    <row r="7" spans="1:7" x14ac:dyDescent="0.25">
      <c r="A7" s="111" t="s">
        <v>435</v>
      </c>
      <c r="B7" s="115" t="s">
        <v>299</v>
      </c>
      <c r="C7" s="115"/>
      <c r="D7" s="115"/>
      <c r="E7" s="115"/>
      <c r="F7" s="115"/>
      <c r="G7" s="115" t="s">
        <v>300</v>
      </c>
    </row>
    <row r="8" spans="1:7" ht="30" x14ac:dyDescent="0.25">
      <c r="A8" s="112"/>
      <c r="B8" s="25" t="s">
        <v>301</v>
      </c>
      <c r="C8" s="91" t="s">
        <v>396</v>
      </c>
      <c r="D8" s="91" t="s">
        <v>232</v>
      </c>
      <c r="E8" s="91" t="s">
        <v>187</v>
      </c>
      <c r="F8" s="91" t="s">
        <v>204</v>
      </c>
      <c r="G8" s="123"/>
    </row>
    <row r="9" spans="1:7" x14ac:dyDescent="0.25">
      <c r="A9" s="63" t="s">
        <v>436</v>
      </c>
      <c r="B9" s="92">
        <f>SUM(B10,B11,B12,B15,B16,B19)</f>
        <v>84257325.430000007</v>
      </c>
      <c r="C9" s="92">
        <f t="shared" ref="C9:F9" si="0">SUM(C10,C11,C12,C15,C16,C19)</f>
        <v>701594.5</v>
      </c>
      <c r="D9" s="92">
        <f t="shared" si="0"/>
        <v>84958920.930000007</v>
      </c>
      <c r="E9" s="92">
        <f t="shared" si="0"/>
        <v>82606237.580000013</v>
      </c>
      <c r="F9" s="92">
        <f t="shared" si="0"/>
        <v>81374809.25</v>
      </c>
      <c r="G9" s="92">
        <f>SUM(G10,G11,G12,G15,G16,G19)</f>
        <v>2352683.349999994</v>
      </c>
    </row>
    <row r="10" spans="1:7" x14ac:dyDescent="0.25">
      <c r="A10" s="46" t="s">
        <v>437</v>
      </c>
      <c r="B10" s="93">
        <v>84257324.430000007</v>
      </c>
      <c r="C10" s="93">
        <v>701593.5</v>
      </c>
      <c r="D10" s="93">
        <v>84958917.930000007</v>
      </c>
      <c r="E10" s="93">
        <v>82606236.580000013</v>
      </c>
      <c r="F10" s="93">
        <v>81374808.25</v>
      </c>
      <c r="G10" s="93">
        <f>D10-E10</f>
        <v>2352681.349999994</v>
      </c>
    </row>
    <row r="11" spans="1:7" x14ac:dyDescent="0.25">
      <c r="A11" s="46" t="s">
        <v>438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f>D11-E11</f>
        <v>0</v>
      </c>
    </row>
    <row r="12" spans="1:7" x14ac:dyDescent="0.25">
      <c r="A12" s="46" t="s">
        <v>439</v>
      </c>
      <c r="B12" s="93">
        <f>B13+B14</f>
        <v>0</v>
      </c>
      <c r="C12" s="93">
        <f t="shared" ref="C12:F12" si="1">C13+C14</f>
        <v>0</v>
      </c>
      <c r="D12" s="93">
        <f t="shared" si="1"/>
        <v>0</v>
      </c>
      <c r="E12" s="93">
        <f t="shared" si="1"/>
        <v>0</v>
      </c>
      <c r="F12" s="93">
        <f t="shared" si="1"/>
        <v>0</v>
      </c>
      <c r="G12" s="93">
        <f>G13+G14</f>
        <v>0</v>
      </c>
    </row>
    <row r="13" spans="1:7" x14ac:dyDescent="0.25">
      <c r="A13" s="66" t="s">
        <v>440</v>
      </c>
      <c r="B13" s="93">
        <v>0</v>
      </c>
      <c r="C13" s="93">
        <v>0</v>
      </c>
      <c r="D13" s="93">
        <v>0</v>
      </c>
      <c r="E13" s="93">
        <v>0</v>
      </c>
      <c r="F13" s="93">
        <v>0</v>
      </c>
      <c r="G13" s="93">
        <f>D13-E13</f>
        <v>0</v>
      </c>
    </row>
    <row r="14" spans="1:7" x14ac:dyDescent="0.25">
      <c r="A14" s="66" t="s">
        <v>441</v>
      </c>
      <c r="B14" s="93">
        <v>0</v>
      </c>
      <c r="C14" s="93">
        <v>0</v>
      </c>
      <c r="D14" s="93">
        <v>0</v>
      </c>
      <c r="E14" s="93">
        <v>0</v>
      </c>
      <c r="F14" s="93">
        <v>0</v>
      </c>
      <c r="G14" s="93">
        <f t="shared" ref="G14:G15" si="2">D14-E14</f>
        <v>0</v>
      </c>
    </row>
    <row r="15" spans="1:7" x14ac:dyDescent="0.25">
      <c r="A15" s="46" t="s">
        <v>442</v>
      </c>
      <c r="B15" s="93">
        <v>1</v>
      </c>
      <c r="C15" s="93">
        <v>1</v>
      </c>
      <c r="D15" s="93">
        <v>3</v>
      </c>
      <c r="E15" s="93">
        <v>1</v>
      </c>
      <c r="F15" s="93">
        <v>1</v>
      </c>
      <c r="G15" s="93">
        <f t="shared" si="2"/>
        <v>2</v>
      </c>
    </row>
    <row r="16" spans="1:7" x14ac:dyDescent="0.25">
      <c r="A16" s="86" t="s">
        <v>443</v>
      </c>
      <c r="B16" s="93">
        <f>B17+B18</f>
        <v>0</v>
      </c>
      <c r="C16" s="93">
        <f t="shared" ref="C16:G16" si="3">C17+C18</f>
        <v>0</v>
      </c>
      <c r="D16" s="93">
        <f t="shared" si="3"/>
        <v>0</v>
      </c>
      <c r="E16" s="93">
        <f t="shared" si="3"/>
        <v>0</v>
      </c>
      <c r="F16" s="93">
        <f t="shared" si="3"/>
        <v>0</v>
      </c>
      <c r="G16" s="93">
        <f t="shared" si="3"/>
        <v>0</v>
      </c>
    </row>
    <row r="17" spans="1:7" x14ac:dyDescent="0.25">
      <c r="A17" s="66" t="s">
        <v>444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f>D17-E17</f>
        <v>0</v>
      </c>
    </row>
    <row r="18" spans="1:7" x14ac:dyDescent="0.25">
      <c r="A18" s="66" t="s">
        <v>445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f>D18-E18</f>
        <v>0</v>
      </c>
    </row>
    <row r="19" spans="1:7" x14ac:dyDescent="0.25">
      <c r="A19" s="46" t="s">
        <v>446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f>D19-E19</f>
        <v>0</v>
      </c>
    </row>
    <row r="20" spans="1:7" x14ac:dyDescent="0.25">
      <c r="A20" s="7"/>
      <c r="B20" s="94"/>
      <c r="C20" s="94"/>
      <c r="D20" s="94"/>
      <c r="E20" s="94"/>
      <c r="F20" s="94"/>
      <c r="G20" s="94"/>
    </row>
    <row r="21" spans="1:7" s="32" customFormat="1" x14ac:dyDescent="0.25">
      <c r="A21" s="95" t="s">
        <v>447</v>
      </c>
      <c r="B21" s="92">
        <f>SUM(B22,B23,B24,B27,B28,B31)</f>
        <v>0</v>
      </c>
      <c r="C21" s="92">
        <f t="shared" ref="C21:F21" si="4">SUM(C22,C23,C24,C27,C28,C31)</f>
        <v>0</v>
      </c>
      <c r="D21" s="92">
        <f t="shared" si="4"/>
        <v>0</v>
      </c>
      <c r="E21" s="92">
        <f t="shared" si="4"/>
        <v>0</v>
      </c>
      <c r="F21" s="92">
        <f t="shared" si="4"/>
        <v>0</v>
      </c>
      <c r="G21" s="92">
        <f>SUM(G22,G23,G24,G27,G28,G31)</f>
        <v>0</v>
      </c>
    </row>
    <row r="22" spans="1:7" s="32" customFormat="1" x14ac:dyDescent="0.25">
      <c r="A22" s="46" t="s">
        <v>437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f>D22-E22</f>
        <v>0</v>
      </c>
    </row>
    <row r="23" spans="1:7" s="32" customFormat="1" x14ac:dyDescent="0.25">
      <c r="A23" s="46" t="s">
        <v>438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f>D23-E23</f>
        <v>0</v>
      </c>
    </row>
    <row r="24" spans="1:7" s="32" customFormat="1" x14ac:dyDescent="0.25">
      <c r="A24" s="46" t="s">
        <v>439</v>
      </c>
      <c r="B24" s="93">
        <f>B25+B26</f>
        <v>0</v>
      </c>
      <c r="C24" s="93">
        <f t="shared" ref="C24:G24" si="5">C25+C26</f>
        <v>0</v>
      </c>
      <c r="D24" s="93">
        <f t="shared" si="5"/>
        <v>0</v>
      </c>
      <c r="E24" s="93">
        <f t="shared" si="5"/>
        <v>0</v>
      </c>
      <c r="F24" s="93">
        <f t="shared" si="5"/>
        <v>0</v>
      </c>
      <c r="G24" s="93">
        <f t="shared" si="5"/>
        <v>0</v>
      </c>
    </row>
    <row r="25" spans="1:7" s="32" customFormat="1" x14ac:dyDescent="0.25">
      <c r="A25" s="66" t="s">
        <v>440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f>D25-E25</f>
        <v>0</v>
      </c>
    </row>
    <row r="26" spans="1:7" s="32" customFormat="1" x14ac:dyDescent="0.25">
      <c r="A26" s="66" t="s">
        <v>441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f t="shared" ref="G26:G27" si="6">D26-E26</f>
        <v>0</v>
      </c>
    </row>
    <row r="27" spans="1:7" s="32" customFormat="1" x14ac:dyDescent="0.25">
      <c r="A27" s="46" t="s">
        <v>442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f t="shared" si="6"/>
        <v>0</v>
      </c>
    </row>
    <row r="28" spans="1:7" s="32" customFormat="1" x14ac:dyDescent="0.25">
      <c r="A28" s="86" t="s">
        <v>443</v>
      </c>
      <c r="B28" s="93">
        <f>B29+B30</f>
        <v>0</v>
      </c>
      <c r="C28" s="93">
        <f t="shared" ref="C28:G28" si="7">C29+C30</f>
        <v>0</v>
      </c>
      <c r="D28" s="93">
        <f t="shared" si="7"/>
        <v>0</v>
      </c>
      <c r="E28" s="93">
        <f t="shared" si="7"/>
        <v>0</v>
      </c>
      <c r="F28" s="93">
        <f t="shared" si="7"/>
        <v>0</v>
      </c>
      <c r="G28" s="93">
        <f t="shared" si="7"/>
        <v>0</v>
      </c>
    </row>
    <row r="29" spans="1:7" s="32" customFormat="1" x14ac:dyDescent="0.25">
      <c r="A29" s="66" t="s">
        <v>444</v>
      </c>
      <c r="B29" s="93">
        <v>0</v>
      </c>
      <c r="C29" s="93">
        <v>0</v>
      </c>
      <c r="D29" s="93">
        <v>0</v>
      </c>
      <c r="E29" s="93">
        <v>0</v>
      </c>
      <c r="F29" s="93">
        <v>0</v>
      </c>
      <c r="G29" s="93">
        <f>D29-E29</f>
        <v>0</v>
      </c>
    </row>
    <row r="30" spans="1:7" s="32" customFormat="1" x14ac:dyDescent="0.25">
      <c r="A30" s="66" t="s">
        <v>445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f t="shared" ref="G30:G31" si="8">D30-E30</f>
        <v>0</v>
      </c>
    </row>
    <row r="31" spans="1:7" s="32" customFormat="1" x14ac:dyDescent="0.25">
      <c r="A31" s="46" t="s">
        <v>446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f t="shared" si="8"/>
        <v>0</v>
      </c>
    </row>
    <row r="32" spans="1:7" x14ac:dyDescent="0.25">
      <c r="A32" s="7"/>
      <c r="B32" s="94"/>
      <c r="C32" s="94"/>
      <c r="D32" s="94"/>
      <c r="E32" s="94"/>
      <c r="F32" s="94"/>
      <c r="G32" s="94"/>
    </row>
    <row r="33" spans="1:7" x14ac:dyDescent="0.25">
      <c r="A33" s="14" t="s">
        <v>448</v>
      </c>
      <c r="B33" s="92">
        <v>84257324.430000007</v>
      </c>
      <c r="C33" s="92">
        <v>701593.5</v>
      </c>
      <c r="D33" s="92">
        <v>84958917.930000007</v>
      </c>
      <c r="E33" s="92">
        <v>82606236.580000013</v>
      </c>
      <c r="F33" s="92">
        <v>81374808.25</v>
      </c>
      <c r="G33" s="92">
        <v>2352681.35</v>
      </c>
    </row>
    <row r="34" spans="1:7" x14ac:dyDescent="0.25">
      <c r="A34" s="21"/>
      <c r="B34" s="96"/>
      <c r="C34" s="96"/>
      <c r="D34" s="96"/>
      <c r="E34" s="96"/>
      <c r="F34" s="96"/>
      <c r="G34" s="9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AF5F0D16-CCAB-415E-9551-51999FC40E39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67</vt:i4>
      </vt:variant>
    </vt:vector>
  </HeadingPairs>
  <TitlesOfParts>
    <vt:vector size="7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OB_CORTO_PLAZO_FIN_01</vt:lpstr>
      <vt:lpstr>OB_CORTO_PLAZO_FIN_02</vt:lpstr>
      <vt:lpstr>OB_CORTO_PLAZO_FIN_03</vt:lpstr>
      <vt:lpstr>OB_CORTO_PLAZO_FIN_04</vt:lpstr>
      <vt:lpstr>OB_CORTO_PLAZO_FIN_05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admin11</dc:creator>
  <cp:lastModifiedBy>admin11</cp:lastModifiedBy>
  <dcterms:created xsi:type="dcterms:W3CDTF">2022-01-20T00:42:30Z</dcterms:created>
  <dcterms:modified xsi:type="dcterms:W3CDTF">2022-02-14T16:07:58Z</dcterms:modified>
</cp:coreProperties>
</file>